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36" yWindow="65116" windowWidth="2100" windowHeight="10275" tabRatio="399" activeTab="0"/>
  </bookViews>
  <sheets>
    <sheet name="PSMN" sheetId="1" r:id="rId1"/>
    <sheet name="Synthèse" sheetId="2" r:id="rId2"/>
    <sheet name="Feuil1" sheetId="3" r:id="rId3"/>
  </sheets>
  <definedNames>
    <definedName name="_xlnm.Print_Titles" localSheetId="0">'PSMN'!$1:$1</definedName>
  </definedNames>
  <calcPr fullCalcOnLoad="1"/>
</workbook>
</file>

<file path=xl/comments1.xml><?xml version="1.0" encoding="utf-8"?>
<comments xmlns="http://schemas.openxmlformats.org/spreadsheetml/2006/main">
  <authors>
    <author>DIA NOEL</author>
    <author>Offosse Marie-Jeanne N'GBESSO</author>
    <author>konan PC</author>
    <author>Patricia N'Goran</author>
    <author>TOSHIBA</author>
    <author>Dr Niamien Guy Richard</author>
  </authors>
  <commentList>
    <comment ref="E298" authorId="0">
      <text>
        <r>
          <rPr>
            <b/>
            <sz val="9"/>
            <rFont val="Tahoma"/>
            <family val="2"/>
          </rPr>
          <t>DIA NOEL:</t>
        </r>
        <r>
          <rPr>
            <sz val="9"/>
            <rFont val="Tahoma"/>
            <family val="2"/>
          </rPr>
          <t xml:space="preserve">
Donnée de base: 1557 cantines 
Projection: 3000</t>
        </r>
      </text>
    </comment>
    <comment ref="D315" authorId="0">
      <text>
        <r>
          <rPr>
            <sz val="9"/>
            <rFont val="Tahoma"/>
            <family val="2"/>
          </rPr>
          <t>A transférer dans gouvernance ?</t>
        </r>
      </text>
    </comment>
    <comment ref="G329" authorId="1">
      <text>
        <r>
          <rPr>
            <b/>
            <sz val="9"/>
            <rFont val="Calibri"/>
            <family val="2"/>
          </rPr>
          <t>Offosse Marie-Jeanne N'GBESSO:</t>
        </r>
        <r>
          <rPr>
            <sz val="9"/>
            <rFont val="Calibri"/>
            <family val="2"/>
          </rPr>
          <t xml:space="preserve">
Kit de reparation</t>
        </r>
      </text>
    </comment>
    <comment ref="H85" authorId="2">
      <text>
        <r>
          <rPr>
            <b/>
            <sz val="9"/>
            <rFont val="Tahoma"/>
            <family val="2"/>
          </rPr>
          <t>konan PC:</t>
        </r>
        <r>
          <rPr>
            <sz val="9"/>
            <rFont val="Tahoma"/>
            <family val="2"/>
          </rPr>
          <t xml:space="preserve">
Cout consultant élaboration plan com+atelier de validation</t>
        </r>
      </text>
    </comment>
    <comment ref="H86" authorId="2">
      <text>
        <r>
          <rPr>
            <b/>
            <sz val="9"/>
            <rFont val="Tahoma"/>
            <family val="2"/>
          </rPr>
          <t>konan PC:</t>
        </r>
        <r>
          <rPr>
            <sz val="9"/>
            <rFont val="Tahoma"/>
            <family val="2"/>
          </rPr>
          <t xml:space="preserve">
Cout unitaire production document plan comm</t>
        </r>
      </text>
    </comment>
    <comment ref="H92" authorId="2">
      <text>
        <r>
          <rPr>
            <b/>
            <sz val="9"/>
            <rFont val="Tahoma"/>
            <family val="2"/>
          </rPr>
          <t>konan PC:</t>
        </r>
        <r>
          <rPr>
            <sz val="9"/>
            <rFont val="Tahoma"/>
            <family val="2"/>
          </rPr>
          <t xml:space="preserve">
Cout consultant élaboration plan com+atelier de validation</t>
        </r>
      </text>
    </comment>
    <comment ref="H93" authorId="2">
      <text>
        <r>
          <rPr>
            <b/>
            <sz val="9"/>
            <rFont val="Tahoma"/>
            <family val="2"/>
          </rPr>
          <t>konan PC:</t>
        </r>
        <r>
          <rPr>
            <sz val="9"/>
            <rFont val="Tahoma"/>
            <family val="2"/>
          </rPr>
          <t xml:space="preserve">
Cout unitaire production document plan comm</t>
        </r>
      </text>
    </comment>
    <comment ref="H109" authorId="2">
      <text>
        <r>
          <rPr>
            <b/>
            <sz val="9"/>
            <rFont val="Tahoma"/>
            <family val="2"/>
          </rPr>
          <t>konan PC:</t>
        </r>
        <r>
          <rPr>
            <sz val="9"/>
            <rFont val="Tahoma"/>
            <family val="2"/>
          </rPr>
          <t xml:space="preserve">
Cout moyen réhabilitation selon expérience terrain</t>
        </r>
      </text>
    </comment>
    <comment ref="H116" authorId="2">
      <text>
        <r>
          <rPr>
            <b/>
            <sz val="9"/>
            <rFont val="Tahoma"/>
            <family val="2"/>
          </rPr>
          <t>konan PC:</t>
        </r>
        <r>
          <rPr>
            <sz val="9"/>
            <rFont val="Tahoma"/>
            <family val="2"/>
          </rPr>
          <t xml:space="preserve">
Cout moyen réhabilitation selon expérience terrain</t>
        </r>
      </text>
    </comment>
    <comment ref="F409" authorId="0">
      <text>
        <r>
          <rPr>
            <b/>
            <sz val="9"/>
            <rFont val="Tahoma"/>
            <family val="2"/>
          </rPr>
          <t>DIA NOEL:</t>
        </r>
        <r>
          <rPr>
            <sz val="9"/>
            <rFont val="Tahoma"/>
            <family val="2"/>
          </rPr>
          <t xml:space="preserve">
1 EDS, 5 SMART, 10 SASA, 1 EASA, 1 MICRONUTRIMENTS, 1 VAMU</t>
        </r>
      </text>
    </comment>
    <comment ref="F412" authorId="0">
      <text>
        <r>
          <rPr>
            <sz val="9"/>
            <rFont val="Tahoma"/>
            <family val="2"/>
          </rPr>
          <t xml:space="preserve">
6 A L'ANNEE 1
11 A L'ANNEE 2
31 A L'ANNEE 3, 4, 5</t>
        </r>
      </text>
    </comment>
    <comment ref="F413" authorId="0">
      <text>
        <r>
          <rPr>
            <sz val="9"/>
            <rFont val="Tahoma"/>
            <family val="2"/>
          </rPr>
          <t xml:space="preserve">
6 + 11+ 31+31+31</t>
        </r>
      </text>
    </comment>
    <comment ref="A322" authorId="2">
      <text>
        <r>
          <rPr>
            <b/>
            <sz val="9"/>
            <rFont val="Tahoma"/>
            <family val="2"/>
          </rPr>
          <t>konan PC:</t>
        </r>
        <r>
          <rPr>
            <sz val="9"/>
            <rFont val="Tahoma"/>
            <family val="2"/>
          </rPr>
          <t xml:space="preserve">
Pour ce résultat statistique considéré les zones spécifiques donc 50%</t>
        </r>
      </text>
    </comment>
    <comment ref="I324" authorId="2">
      <text>
        <r>
          <rPr>
            <b/>
            <sz val="9"/>
            <rFont val="Tahoma"/>
            <family val="2"/>
          </rPr>
          <t>konan PC:</t>
        </r>
        <r>
          <rPr>
            <sz val="9"/>
            <rFont val="Tahoma"/>
            <family val="2"/>
          </rPr>
          <t xml:space="preserve">
étaler sur 4 ans</t>
        </r>
      </text>
    </comment>
    <comment ref="I323" authorId="2">
      <text>
        <r>
          <rPr>
            <b/>
            <sz val="9"/>
            <rFont val="Tahoma"/>
            <family val="2"/>
          </rPr>
          <t>konan PC:</t>
        </r>
        <r>
          <rPr>
            <sz val="9"/>
            <rFont val="Tahoma"/>
            <family val="2"/>
          </rPr>
          <t xml:space="preserve">
étaler sur 3 ans (670,5*</t>
        </r>
        <r>
          <rPr>
            <sz val="9"/>
            <rFont val="Tahoma"/>
            <family val="2"/>
          </rPr>
          <t>20%)</t>
        </r>
      </text>
    </comment>
    <comment ref="I325" authorId="2">
      <text>
        <r>
          <rPr>
            <b/>
            <sz val="9"/>
            <rFont val="Tahoma"/>
            <family val="2"/>
          </rPr>
          <t>konan PC:</t>
        </r>
        <r>
          <rPr>
            <sz val="9"/>
            <rFont val="Tahoma"/>
            <family val="2"/>
          </rPr>
          <t xml:space="preserve">
sur 5 ans</t>
        </r>
      </text>
    </comment>
    <comment ref="I327" authorId="2">
      <text>
        <r>
          <rPr>
            <b/>
            <sz val="9"/>
            <rFont val="Tahoma"/>
            <family val="2"/>
          </rPr>
          <t>konan PC:</t>
        </r>
        <r>
          <rPr>
            <sz val="9"/>
            <rFont val="Tahoma"/>
            <family val="2"/>
          </rPr>
          <t xml:space="preserve">
3sur 3 ans</t>
        </r>
      </text>
    </comment>
    <comment ref="I329" authorId="2">
      <text>
        <r>
          <rPr>
            <b/>
            <sz val="9"/>
            <rFont val="Tahoma"/>
            <family val="2"/>
          </rPr>
          <t>konan PC:</t>
        </r>
        <r>
          <rPr>
            <sz val="9"/>
            <rFont val="Tahoma"/>
            <family val="2"/>
          </rPr>
          <t xml:space="preserve">
sur 2 ans</t>
        </r>
      </text>
    </comment>
    <comment ref="I331" authorId="2">
      <text>
        <r>
          <rPr>
            <b/>
            <sz val="9"/>
            <rFont val="Tahoma"/>
            <family val="2"/>
          </rPr>
          <t>konan PC:</t>
        </r>
        <r>
          <rPr>
            <sz val="9"/>
            <rFont val="Tahoma"/>
            <family val="2"/>
          </rPr>
          <t xml:space="preserve">
 Objectif des cantines scolaires</t>
        </r>
      </text>
    </comment>
    <comment ref="I340" authorId="2">
      <text>
        <r>
          <rPr>
            <b/>
            <sz val="9"/>
            <rFont val="Tahoma"/>
            <family val="2"/>
          </rPr>
          <t>konan PC:</t>
        </r>
        <r>
          <rPr>
            <sz val="9"/>
            <rFont val="Tahoma"/>
            <family val="2"/>
          </rPr>
          <t xml:space="preserve">
Sur 4 ans </t>
        </r>
      </text>
    </comment>
    <comment ref="I245" authorId="2">
      <text>
        <r>
          <rPr>
            <b/>
            <sz val="9"/>
            <rFont val="Tahoma"/>
            <family val="2"/>
          </rPr>
          <t>konan PC:</t>
        </r>
        <r>
          <rPr>
            <sz val="9"/>
            <rFont val="Tahoma"/>
            <family val="2"/>
          </rPr>
          <t xml:space="preserve">
35 pers des services de douanes et 35 des autres ministères par région. Soit 1330 pers à former sur les 5 ans: 53 sessions</t>
        </r>
      </text>
    </comment>
    <comment ref="I249" authorId="2">
      <text>
        <r>
          <rPr>
            <b/>
            <sz val="9"/>
            <rFont val="Tahoma"/>
            <family val="2"/>
          </rPr>
          <t>konan PC:</t>
        </r>
        <r>
          <rPr>
            <sz val="9"/>
            <rFont val="Tahoma"/>
            <family val="2"/>
          </rPr>
          <t xml:space="preserve">
6 spots par trimestre sur 5 ans</t>
        </r>
      </text>
    </comment>
    <comment ref="I250" authorId="2">
      <text>
        <r>
          <rPr>
            <b/>
            <sz val="9"/>
            <rFont val="Tahoma"/>
            <family val="2"/>
          </rPr>
          <t>konan PC:</t>
        </r>
        <r>
          <rPr>
            <sz val="9"/>
            <rFont val="Tahoma"/>
            <family val="2"/>
          </rPr>
          <t xml:space="preserve">
6 spots par trimestre sur 5 ans</t>
        </r>
      </text>
    </comment>
    <comment ref="I251" authorId="2">
      <text>
        <r>
          <rPr>
            <b/>
            <sz val="9"/>
            <rFont val="Tahoma"/>
            <family val="2"/>
          </rPr>
          <t>konan PC:</t>
        </r>
        <r>
          <rPr>
            <sz val="9"/>
            <rFont val="Tahoma"/>
            <family val="2"/>
          </rPr>
          <t xml:space="preserve">
4 sessions de formations de 25 opérateurs par an </t>
        </r>
      </text>
    </comment>
    <comment ref="I257" authorId="2">
      <text>
        <r>
          <rPr>
            <b/>
            <sz val="9"/>
            <rFont val="Tahoma"/>
            <family val="2"/>
          </rPr>
          <t>konan PC:</t>
        </r>
        <r>
          <rPr>
            <sz val="9"/>
            <rFont val="Tahoma"/>
            <family val="2"/>
          </rPr>
          <t xml:space="preserve">
20 CHR</t>
        </r>
      </text>
    </comment>
    <comment ref="H262" authorId="2">
      <text>
        <r>
          <rPr>
            <b/>
            <sz val="9"/>
            <rFont val="Tahoma"/>
            <family val="2"/>
          </rPr>
          <t>konan PC:</t>
        </r>
        <r>
          <rPr>
            <sz val="9"/>
            <rFont val="Tahoma"/>
            <family val="2"/>
          </rPr>
          <t xml:space="preserve">
Coût incinérateur et fonctionnement</t>
        </r>
      </text>
    </comment>
    <comment ref="I180" authorId="2">
      <text>
        <r>
          <rPr>
            <b/>
            <sz val="9"/>
            <rFont val="Tahoma"/>
            <family val="2"/>
          </rPr>
          <t xml:space="preserve">konan PC: 1000 pour cinq an 200 </t>
        </r>
        <r>
          <rPr>
            <sz val="9"/>
            <rFont val="Tahoma"/>
            <family val="2"/>
          </rPr>
          <t xml:space="preserve">
Valuer indiquée par la direction des cantines pour les zones d'insécurité alimentaires</t>
        </r>
      </text>
    </comment>
    <comment ref="I204" authorId="2">
      <text>
        <r>
          <rPr>
            <b/>
            <sz val="9"/>
            <rFont val="Tahoma"/>
            <family val="2"/>
          </rPr>
          <t>konan PC:</t>
        </r>
        <r>
          <rPr>
            <sz val="9"/>
            <rFont val="Tahoma"/>
            <family val="2"/>
          </rPr>
          <t xml:space="preserve">
400 sessions de formations sur les 5 ans pour 10 000</t>
        </r>
      </text>
    </comment>
    <comment ref="I212" authorId="2">
      <text>
        <r>
          <rPr>
            <b/>
            <sz val="9"/>
            <rFont val="Tahoma"/>
            <family val="2"/>
          </rPr>
          <t>konan PC:</t>
        </r>
        <r>
          <rPr>
            <sz val="9"/>
            <rFont val="Tahoma"/>
            <family val="2"/>
          </rPr>
          <t xml:space="preserve">
25 encadreurs de 5 régions d'insécurité alimentaires</t>
        </r>
      </text>
    </comment>
    <comment ref="I223" authorId="2">
      <text>
        <r>
          <rPr>
            <b/>
            <sz val="9"/>
            <rFont val="Tahoma"/>
            <family val="2"/>
          </rPr>
          <t>konan PC:</t>
        </r>
        <r>
          <rPr>
            <sz val="9"/>
            <rFont val="Tahoma"/>
            <family val="2"/>
          </rPr>
          <t xml:space="preserve">
15 sessions par an sur 3 ans</t>
        </r>
      </text>
    </comment>
    <comment ref="I266" authorId="2">
      <text>
        <r>
          <rPr>
            <b/>
            <sz val="9"/>
            <rFont val="Tahoma"/>
            <family val="2"/>
          </rPr>
          <t>konan PC:</t>
        </r>
        <r>
          <rPr>
            <sz val="9"/>
            <rFont val="Tahoma"/>
            <family val="2"/>
          </rPr>
          <t xml:space="preserve">
40 sessions de formation sur les 5 ans pour 1000 personnes</t>
        </r>
      </text>
    </comment>
    <comment ref="H368" authorId="2">
      <text>
        <r>
          <rPr>
            <b/>
            <sz val="9"/>
            <rFont val="Tahoma"/>
            <family val="2"/>
          </rPr>
          <t>konan PC:</t>
        </r>
        <r>
          <rPr>
            <sz val="9"/>
            <rFont val="Tahoma"/>
            <family val="2"/>
          </rPr>
          <t xml:space="preserve">
Consultant: 6 000 000 F/12
Atelier: 6 000 000 F
</t>
        </r>
      </text>
    </comment>
    <comment ref="G375" authorId="2">
      <text>
        <r>
          <rPr>
            <b/>
            <sz val="9"/>
            <rFont val="Tahoma"/>
            <family val="2"/>
          </rPr>
          <t>konan PC:</t>
        </r>
        <r>
          <rPr>
            <sz val="9"/>
            <rFont val="Tahoma"/>
            <family val="2"/>
          </rPr>
          <t xml:space="preserve">
Costdiet</t>
        </r>
      </text>
    </comment>
    <comment ref="I406" authorId="2">
      <text>
        <r>
          <rPr>
            <b/>
            <sz val="9"/>
            <rFont val="Tahoma"/>
            <family val="2"/>
          </rPr>
          <t>konan PC:</t>
        </r>
        <r>
          <rPr>
            <sz val="9"/>
            <rFont val="Tahoma"/>
            <family val="2"/>
          </rPr>
          <t xml:space="preserve">
2 sujets par labo de recherche pour les 5 ans</t>
        </r>
      </text>
    </comment>
    <comment ref="H426" authorId="2">
      <text>
        <r>
          <rPr>
            <b/>
            <sz val="9"/>
            <rFont val="Tahoma"/>
            <family val="2"/>
          </rPr>
          <t>konan PC:</t>
        </r>
        <r>
          <rPr>
            <sz val="9"/>
            <rFont val="Tahoma"/>
            <family val="2"/>
          </rPr>
          <t xml:space="preserve">
consultant 45 jours + atelier de validation</t>
        </r>
      </text>
    </comment>
    <comment ref="H433" authorId="2">
      <text>
        <r>
          <rPr>
            <b/>
            <sz val="9"/>
            <rFont val="Tahoma"/>
            <family val="2"/>
          </rPr>
          <t>konan PC:</t>
        </r>
        <r>
          <rPr>
            <sz val="9"/>
            <rFont val="Tahoma"/>
            <family val="2"/>
          </rPr>
          <t xml:space="preserve">
consultant 45 jours + atelier de validation</t>
        </r>
      </text>
    </comment>
    <comment ref="I76" authorId="2">
      <text>
        <r>
          <rPr>
            <b/>
            <sz val="9"/>
            <rFont val="Tahoma"/>
            <family val="2"/>
          </rPr>
          <t>konan PC:</t>
        </r>
        <r>
          <rPr>
            <sz val="9"/>
            <rFont val="Tahoma"/>
            <family val="2"/>
          </rPr>
          <t xml:space="preserve">
PILOTE 5%</t>
        </r>
      </text>
    </comment>
    <comment ref="I78" authorId="2">
      <text>
        <r>
          <rPr>
            <b/>
            <sz val="9"/>
            <rFont val="Tahoma"/>
            <family val="2"/>
          </rPr>
          <t>konan PC:</t>
        </r>
        <r>
          <rPr>
            <sz val="9"/>
            <rFont val="Tahoma"/>
            <family val="2"/>
          </rPr>
          <t xml:space="preserve">
PILOTE 5%</t>
        </r>
        <r>
          <rPr>
            <sz val="9"/>
            <rFont val="Tahoma"/>
            <family val="2"/>
          </rPr>
          <t xml:space="preserve"> il etait prevu pour 235 065</t>
        </r>
      </text>
    </comment>
    <comment ref="I81" authorId="2">
      <text>
        <r>
          <rPr>
            <b/>
            <sz val="9"/>
            <rFont val="Tahoma"/>
            <family val="2"/>
          </rPr>
          <t>konan PC:</t>
        </r>
        <r>
          <rPr>
            <sz val="9"/>
            <rFont val="Tahoma"/>
            <family val="2"/>
          </rPr>
          <t xml:space="preserve">
80%</t>
        </r>
      </text>
    </comment>
    <comment ref="H82" authorId="2">
      <text>
        <r>
          <rPr>
            <b/>
            <sz val="9"/>
            <rFont val="Tahoma"/>
            <family val="2"/>
          </rPr>
          <t>konan PC:</t>
        </r>
        <r>
          <rPr>
            <sz val="9"/>
            <rFont val="Tahoma"/>
            <family val="2"/>
          </rPr>
          <t xml:space="preserve">
2  campagnes par an et par régions</t>
        </r>
      </text>
    </comment>
    <comment ref="C423" authorId="2">
      <text>
        <r>
          <rPr>
            <b/>
            <sz val="9"/>
            <rFont val="Tahoma"/>
            <family val="2"/>
          </rPr>
          <t>konan PC:</t>
        </r>
        <r>
          <rPr>
            <sz val="9"/>
            <rFont val="Tahoma"/>
            <family val="2"/>
          </rPr>
          <t xml:space="preserve">
Ancienne action1118 Intégrer dans l'axe gouvernance </t>
        </r>
      </text>
    </comment>
    <comment ref="G423" authorId="2">
      <text>
        <r>
          <rPr>
            <b/>
            <sz val="9"/>
            <rFont val="Tahoma"/>
            <family val="2"/>
          </rPr>
          <t>konan PC:</t>
        </r>
        <r>
          <rPr>
            <sz val="9"/>
            <rFont val="Tahoma"/>
            <family val="2"/>
          </rPr>
          <t xml:space="preserve">
Action 1118 reversé dans la gouvernance</t>
        </r>
      </text>
    </comment>
    <comment ref="G424" authorId="2">
      <text>
        <r>
          <rPr>
            <b/>
            <sz val="9"/>
            <rFont val="Tahoma"/>
            <family val="2"/>
          </rPr>
          <t>konan PC:</t>
        </r>
        <r>
          <rPr>
            <sz val="9"/>
            <rFont val="Tahoma"/>
            <family val="2"/>
          </rPr>
          <t xml:space="preserve">
Action 1118 reversé dans la gouvernance</t>
        </r>
      </text>
    </comment>
    <comment ref="I87" authorId="2">
      <text>
        <r>
          <rPr>
            <b/>
            <sz val="9"/>
            <rFont val="Tahoma"/>
            <family val="2"/>
          </rPr>
          <t>konan PC:</t>
        </r>
        <r>
          <rPr>
            <sz val="9"/>
            <rFont val="Tahoma"/>
            <family val="2"/>
          </rPr>
          <t xml:space="preserve">
Sur la base de 4 millions de menades environ (1 menage pour 6 personnes</t>
        </r>
      </text>
    </comment>
    <comment ref="I97" authorId="2">
      <text>
        <r>
          <rPr>
            <b/>
            <sz val="9"/>
            <rFont val="Tahoma"/>
            <family val="2"/>
          </rPr>
          <t>konan PC:</t>
        </r>
        <r>
          <rPr>
            <sz val="9"/>
            <rFont val="Tahoma"/>
            <family val="2"/>
          </rPr>
          <t xml:space="preserve">
Considerer seulement les zones d'nsécurité alimentaire</t>
        </r>
      </text>
    </comment>
    <comment ref="I100" authorId="2">
      <text>
        <r>
          <rPr>
            <b/>
            <sz val="9"/>
            <rFont val="Tahoma"/>
            <family val="2"/>
          </rPr>
          <t>konan PC:</t>
        </r>
        <r>
          <rPr>
            <sz val="9"/>
            <rFont val="Tahoma"/>
            <family val="2"/>
          </rPr>
          <t xml:space="preserve">
Considerer seulement les zones en insécurité alimentaire 6000 cantines nationale 50%</t>
        </r>
      </text>
    </comment>
    <comment ref="H74" authorId="3">
      <text>
        <r>
          <rPr>
            <b/>
            <sz val="9"/>
            <rFont val="Calibri"/>
            <family val="2"/>
          </rPr>
          <t>Patricia N'Goran:</t>
        </r>
        <r>
          <rPr>
            <sz val="9"/>
            <rFont val="Calibri"/>
            <family val="2"/>
          </rPr>
          <t xml:space="preserve">
consultan atelier</t>
        </r>
      </text>
    </comment>
    <comment ref="G76" authorId="3">
      <text>
        <r>
          <rPr>
            <b/>
            <sz val="9"/>
            <rFont val="Calibri"/>
            <family val="2"/>
          </rPr>
          <t>Patricia N'Goran:</t>
        </r>
        <r>
          <rPr>
            <sz val="9"/>
            <rFont val="Calibri"/>
            <family val="2"/>
          </rPr>
          <t xml:space="preserve">
</t>
        </r>
      </text>
    </comment>
    <comment ref="F81" authorId="3">
      <text>
        <r>
          <rPr>
            <b/>
            <sz val="9"/>
            <rFont val="Calibri"/>
            <family val="2"/>
          </rPr>
          <t>Patricia N'Goran:</t>
        </r>
        <r>
          <rPr>
            <sz val="9"/>
            <rFont val="Calibri"/>
            <family val="2"/>
          </rPr>
          <t xml:space="preserve">
Prendre 50% au lieu de 80%</t>
        </r>
      </text>
    </comment>
    <comment ref="H87" authorId="3">
      <text>
        <r>
          <rPr>
            <b/>
            <sz val="9"/>
            <rFont val="Calibri"/>
            <family val="2"/>
          </rPr>
          <t>Patricia N'Goran:</t>
        </r>
        <r>
          <rPr>
            <sz val="9"/>
            <rFont val="Calibri"/>
            <family val="2"/>
          </rPr>
          <t xml:space="preserve">
sera pris en compte dans les sénce de sensibilisation</t>
        </r>
      </text>
    </comment>
    <comment ref="I72" authorId="3">
      <text>
        <r>
          <rPr>
            <b/>
            <sz val="9"/>
            <rFont val="Calibri"/>
            <family val="2"/>
          </rPr>
          <t>Patricia N'Goran:</t>
        </r>
        <r>
          <rPr>
            <sz val="9"/>
            <rFont val="Calibri"/>
            <family val="2"/>
          </rPr>
          <t xml:space="preserve">
TOTALITÉ DES ENFANTS SUR CINQ ANS</t>
        </r>
      </text>
    </comment>
    <comment ref="I88" authorId="3">
      <text>
        <r>
          <rPr>
            <b/>
            <sz val="9"/>
            <rFont val="Calibri"/>
            <family val="2"/>
          </rPr>
          <t>Patricia N'Goran:</t>
        </r>
        <r>
          <rPr>
            <sz val="9"/>
            <rFont val="Calibri"/>
            <family val="2"/>
          </rPr>
          <t xml:space="preserve">
achat des testeurs plus reactif</t>
        </r>
      </text>
    </comment>
    <comment ref="H97" authorId="3">
      <text>
        <r>
          <rPr>
            <b/>
            <sz val="9"/>
            <rFont val="Calibri"/>
            <family val="2"/>
          </rPr>
          <t>Patricia N'Goran:</t>
        </r>
        <r>
          <rPr>
            <sz val="9"/>
            <rFont val="Calibri"/>
            <family val="2"/>
          </rPr>
          <t xml:space="preserve">
PM 750</t>
        </r>
      </text>
    </comment>
    <comment ref="H102" authorId="3">
      <text>
        <r>
          <rPr>
            <b/>
            <sz val="9"/>
            <rFont val="Calibri"/>
            <family val="2"/>
          </rPr>
          <t>Patricia N'Goran:</t>
        </r>
        <r>
          <rPr>
            <sz val="9"/>
            <rFont val="Calibri"/>
            <family val="2"/>
          </rPr>
          <t xml:space="preserve">
voir dans ecoles amies de la nutrition</t>
        </r>
      </text>
    </comment>
    <comment ref="I106" authorId="3">
      <text>
        <r>
          <rPr>
            <b/>
            <sz val="9"/>
            <rFont val="Calibri"/>
            <family val="2"/>
          </rPr>
          <t>Patricia N'Goran:</t>
        </r>
        <r>
          <rPr>
            <sz val="9"/>
            <rFont val="Calibri"/>
            <family val="2"/>
          </rPr>
          <t xml:space="preserve">
au lieu de 1950  chaque année  é par structure</t>
        </r>
      </text>
    </comment>
    <comment ref="I109" authorId="3">
      <text>
        <r>
          <rPr>
            <b/>
            <sz val="9"/>
            <rFont val="Calibri"/>
            <family val="2"/>
          </rPr>
          <t>Patricia N'Goran:</t>
        </r>
        <r>
          <rPr>
            <sz val="9"/>
            <rFont val="Calibri"/>
            <family val="2"/>
          </rPr>
          <t xml:space="preserve">
168 formations  ce qui fait 11 par formation propose 20 par formation
de quatre personne par HG (85) TROIs du district region</t>
        </r>
      </text>
    </comment>
    <comment ref="H110" authorId="3">
      <text>
        <r>
          <rPr>
            <b/>
            <sz val="9"/>
            <rFont val="Calibri"/>
            <family val="2"/>
          </rPr>
          <t>Patricia N'Goran:</t>
        </r>
        <r>
          <rPr>
            <sz val="9"/>
            <rFont val="Calibri"/>
            <family val="2"/>
          </rPr>
          <t xml:space="preserve">
un aide à 60 000 par moi
</t>
        </r>
      </text>
    </comment>
    <comment ref="I110" authorId="3">
      <text>
        <r>
          <rPr>
            <b/>
            <sz val="9"/>
            <rFont val="Calibri"/>
            <family val="2"/>
          </rPr>
          <t>Patricia N'Goran:</t>
        </r>
        <r>
          <rPr>
            <sz val="9"/>
            <rFont val="Calibri"/>
            <family val="2"/>
          </rPr>
          <t xml:space="preserve">
dans les zones à forte prévalence
</t>
        </r>
      </text>
    </comment>
    <comment ref="P106" authorId="3">
      <text>
        <r>
          <rPr>
            <b/>
            <sz val="9"/>
            <rFont val="Calibri"/>
            <family val="2"/>
          </rPr>
          <t>Patricia N'Goran:</t>
        </r>
        <r>
          <rPr>
            <sz val="9"/>
            <rFont val="Calibri"/>
            <family val="2"/>
          </rPr>
          <t xml:space="preserve">
47  750 000 000
</t>
        </r>
      </text>
    </comment>
    <comment ref="P109" authorId="3">
      <text>
        <r>
          <rPr>
            <b/>
            <sz val="9"/>
            <rFont val="Calibri"/>
            <family val="2"/>
          </rPr>
          <t>Patricia N'Goran:</t>
        </r>
        <r>
          <rPr>
            <sz val="9"/>
            <rFont val="Calibri"/>
            <family val="2"/>
          </rPr>
          <t xml:space="preserve">
840 000 000</t>
        </r>
      </text>
    </comment>
    <comment ref="P110" authorId="3">
      <text>
        <r>
          <rPr>
            <b/>
            <sz val="9"/>
            <rFont val="Calibri"/>
            <family val="2"/>
          </rPr>
          <t>Patricia N'Goran:</t>
        </r>
        <r>
          <rPr>
            <sz val="9"/>
            <rFont val="Calibri"/>
            <family val="2"/>
          </rPr>
          <t xml:space="preserve">
252 000 000</t>
        </r>
      </text>
    </comment>
    <comment ref="G112" authorId="3">
      <text>
        <r>
          <rPr>
            <b/>
            <sz val="9"/>
            <rFont val="Calibri"/>
            <family val="2"/>
          </rPr>
          <t>Patricia N'Goran:</t>
        </r>
        <r>
          <rPr>
            <sz val="9"/>
            <rFont val="Calibri"/>
            <family val="2"/>
          </rPr>
          <t xml:space="preserve">
à supprimer
 et remplacer la ligne par le coaching</t>
        </r>
      </text>
    </comment>
    <comment ref="I116" authorId="3">
      <text>
        <r>
          <rPr>
            <b/>
            <sz val="9"/>
            <rFont val="Calibri"/>
            <family val="2"/>
          </rPr>
          <t>Patricia N'Goran:</t>
        </r>
        <r>
          <rPr>
            <sz val="9"/>
            <rFont val="Calibri"/>
            <family val="2"/>
          </rPr>
          <t xml:space="preserve">
deux par centre social</t>
        </r>
      </text>
    </comment>
    <comment ref="H112" authorId="3">
      <text>
        <r>
          <rPr>
            <b/>
            <sz val="9"/>
            <rFont val="Calibri"/>
            <family val="2"/>
          </rPr>
          <t>Patricia N'Goran:</t>
        </r>
        <r>
          <rPr>
            <sz val="9"/>
            <rFont val="Calibri"/>
            <family val="2"/>
          </rPr>
          <t xml:space="preserve">
trois coaching post formation pour un cout unitaire de 100000  fait au debut par le niveau cental </t>
        </r>
      </text>
    </comment>
    <comment ref="H123" authorId="3">
      <text>
        <r>
          <rPr>
            <b/>
            <sz val="9"/>
            <rFont val="Calibri"/>
            <family val="2"/>
          </rPr>
          <t>Patricia N'Goran:</t>
        </r>
        <r>
          <rPr>
            <sz val="9"/>
            <rFont val="Calibri"/>
            <family val="2"/>
          </rPr>
          <t xml:space="preserve">
appui à la supervision mensuelle
</t>
        </r>
      </text>
    </comment>
    <comment ref="G123" authorId="3">
      <text>
        <r>
          <rPr>
            <b/>
            <sz val="9"/>
            <rFont val="Calibri"/>
            <family val="2"/>
          </rPr>
          <t>Patricia N'Goran:</t>
        </r>
        <r>
          <rPr>
            <sz val="9"/>
            <rFont val="Calibri"/>
            <family val="2"/>
          </rPr>
          <t xml:space="preserve">
a ete ajouté</t>
        </r>
      </text>
    </comment>
    <comment ref="G127" authorId="3">
      <text>
        <r>
          <rPr>
            <b/>
            <sz val="9"/>
            <rFont val="Calibri"/>
            <family val="2"/>
          </rPr>
          <t>Patricia N'Goran:</t>
        </r>
        <r>
          <rPr>
            <sz val="9"/>
            <rFont val="Calibri"/>
            <family val="2"/>
          </rPr>
          <t xml:space="preserve">
activité répété</t>
        </r>
      </text>
    </comment>
    <comment ref="I131" authorId="3">
      <text>
        <r>
          <rPr>
            <b/>
            <sz val="9"/>
            <rFont val="Calibri"/>
            <family val="2"/>
          </rPr>
          <t>Patricia N'Goran:</t>
        </r>
        <r>
          <rPr>
            <sz val="9"/>
            <rFont val="Calibri"/>
            <family val="2"/>
          </rPr>
          <t xml:space="preserve">
plus 30% de renouvellement</t>
        </r>
      </text>
    </comment>
    <comment ref="H152" authorId="3">
      <text>
        <r>
          <rPr>
            <b/>
            <sz val="9"/>
            <rFont val="Calibri"/>
            <family val="2"/>
          </rPr>
          <t>Patricia N'Goran:</t>
        </r>
        <r>
          <rPr>
            <sz val="9"/>
            <rFont val="Calibri"/>
            <family val="2"/>
          </rPr>
          <t xml:space="preserve">
CONSULTANT + atelier</t>
        </r>
      </text>
    </comment>
    <comment ref="G155" authorId="3">
      <text>
        <r>
          <rPr>
            <b/>
            <sz val="9"/>
            <rFont val="Calibri"/>
            <family val="2"/>
          </rPr>
          <t>Patricia N'Goran:</t>
        </r>
        <r>
          <rPr>
            <sz val="9"/>
            <rFont val="Calibri"/>
            <family val="2"/>
          </rPr>
          <t xml:space="preserve">
foemation integree à prendre en compte lors des désignation</t>
        </r>
      </text>
    </comment>
    <comment ref="G232" authorId="3">
      <text>
        <r>
          <rPr>
            <b/>
            <sz val="9"/>
            <rFont val="Calibri"/>
            <family val="2"/>
          </rPr>
          <t>Patricia N'Goran:</t>
        </r>
        <r>
          <rPr>
            <sz val="9"/>
            <rFont val="Calibri"/>
            <family val="2"/>
          </rPr>
          <t xml:space="preserve">
pris en compte plus haut</t>
        </r>
      </text>
    </comment>
    <comment ref="H224" authorId="3">
      <text>
        <r>
          <rPr>
            <b/>
            <sz val="9"/>
            <rFont val="Calibri"/>
            <family val="2"/>
          </rPr>
          <t>Patricia N'Goran:</t>
        </r>
        <r>
          <rPr>
            <sz val="9"/>
            <rFont val="Calibri"/>
            <family val="2"/>
          </rPr>
          <t xml:space="preserve">
dejà pris en compte plus bas</t>
        </r>
      </text>
    </comment>
    <comment ref="H213" authorId="3">
      <text>
        <r>
          <rPr>
            <b/>
            <sz val="9"/>
            <rFont val="Calibri"/>
            <family val="2"/>
          </rPr>
          <t>Patricia N'Goran:</t>
        </r>
        <r>
          <rPr>
            <sz val="9"/>
            <rFont val="Calibri"/>
            <family val="2"/>
          </rPr>
          <t xml:space="preserve">
PM 2 000 000 POUR 50</t>
        </r>
      </text>
    </comment>
    <comment ref="H185" authorId="3">
      <text>
        <r>
          <rPr>
            <b/>
            <sz val="9"/>
            <rFont val="Calibri"/>
            <family val="2"/>
          </rPr>
          <t>Patricia N'Goran:</t>
        </r>
        <r>
          <rPr>
            <sz val="9"/>
            <rFont val="Calibri"/>
            <family val="2"/>
          </rPr>
          <t xml:space="preserve">
PM ANADER</t>
        </r>
      </text>
    </comment>
    <comment ref="H190" authorId="3">
      <text>
        <r>
          <rPr>
            <b/>
            <sz val="9"/>
            <rFont val="Calibri"/>
            <family val="2"/>
          </rPr>
          <t>Patricia N'Goran:</t>
        </r>
        <r>
          <rPr>
            <sz val="9"/>
            <rFont val="Calibri"/>
            <family val="2"/>
          </rPr>
          <t xml:space="preserve">
DEMANDE DE FINANCEMENT DEJA EXPRIMEE
</t>
        </r>
      </text>
    </comment>
    <comment ref="H201" authorId="3">
      <text>
        <r>
          <rPr>
            <b/>
            <sz val="9"/>
            <rFont val="Calibri"/>
            <family val="2"/>
          </rPr>
          <t>Patricia N'Goran:</t>
        </r>
        <r>
          <rPr>
            <sz val="9"/>
            <rFont val="Calibri"/>
            <family val="2"/>
          </rPr>
          <t xml:space="preserve">
difficiles par menage faire par communauté 
1 500 000</t>
        </r>
      </text>
    </comment>
    <comment ref="H202" authorId="3">
      <text>
        <r>
          <rPr>
            <b/>
            <sz val="9"/>
            <rFont val="Calibri"/>
            <family val="2"/>
          </rPr>
          <t>Patricia N'Goran:</t>
        </r>
        <r>
          <rPr>
            <sz val="9"/>
            <rFont val="Calibri"/>
            <family val="2"/>
          </rPr>
          <t xml:space="preserve">
50 000
</t>
        </r>
      </text>
    </comment>
    <comment ref="H203" authorId="3">
      <text>
        <r>
          <rPr>
            <b/>
            <sz val="9"/>
            <rFont val="Calibri"/>
            <family val="2"/>
          </rPr>
          <t>Patricia N'Goran:</t>
        </r>
        <r>
          <rPr>
            <sz val="9"/>
            <rFont val="Calibri"/>
            <family val="2"/>
          </rPr>
          <t xml:space="preserve">
150 000</t>
        </r>
      </text>
    </comment>
    <comment ref="H204" authorId="3">
      <text>
        <r>
          <rPr>
            <b/>
            <sz val="9"/>
            <rFont val="Calibri"/>
            <family val="2"/>
          </rPr>
          <t>Patricia N'Goran:</t>
        </r>
        <r>
          <rPr>
            <sz val="9"/>
            <rFont val="Calibri"/>
            <family val="2"/>
          </rPr>
          <t xml:space="preserve">
700 000</t>
        </r>
      </text>
    </comment>
    <comment ref="H205" authorId="3">
      <text>
        <r>
          <rPr>
            <b/>
            <sz val="9"/>
            <rFont val="Calibri"/>
            <family val="2"/>
          </rPr>
          <t>Patricia N'Goran:</t>
        </r>
        <r>
          <rPr>
            <sz val="9"/>
            <rFont val="Calibri"/>
            <family val="2"/>
          </rPr>
          <t xml:space="preserve">
PM</t>
        </r>
      </text>
    </comment>
    <comment ref="H206" authorId="3">
      <text>
        <r>
          <rPr>
            <b/>
            <sz val="9"/>
            <rFont val="Calibri"/>
            <family val="2"/>
          </rPr>
          <t>Patricia N'Goran:</t>
        </r>
        <r>
          <rPr>
            <sz val="9"/>
            <rFont val="Calibri"/>
            <family val="2"/>
          </rPr>
          <t xml:space="preserve">
300 000</t>
        </r>
      </text>
    </comment>
    <comment ref="H207" authorId="3">
      <text>
        <r>
          <rPr>
            <b/>
            <sz val="9"/>
            <rFont val="Calibri"/>
            <family val="2"/>
          </rPr>
          <t>Patricia N'Goran:</t>
        </r>
        <r>
          <rPr>
            <sz val="9"/>
            <rFont val="Calibri"/>
            <family val="2"/>
          </rPr>
          <t xml:space="preserve">
15 000 000</t>
        </r>
      </text>
    </comment>
    <comment ref="H208" authorId="3">
      <text>
        <r>
          <rPr>
            <b/>
            <sz val="9"/>
            <rFont val="Calibri"/>
            <family val="2"/>
          </rPr>
          <t>Patricia N'Goran:</t>
        </r>
        <r>
          <rPr>
            <sz val="9"/>
            <rFont val="Calibri"/>
            <family val="2"/>
          </rPr>
          <t xml:space="preserve">
PM
</t>
        </r>
      </text>
    </comment>
    <comment ref="H181" authorId="3">
      <text>
        <r>
          <rPr>
            <b/>
            <sz val="9"/>
            <rFont val="Calibri"/>
            <family val="2"/>
          </rPr>
          <t>Patricia N'Goran: 600 000</t>
        </r>
        <r>
          <rPr>
            <sz val="9"/>
            <rFont val="Calibri"/>
            <family val="2"/>
          </rPr>
          <t xml:space="preserve">
pm fond  fait partie de la strategie de developpement du vivrier autre que le riz fond à recherche 11 fed
</t>
        </r>
      </text>
    </comment>
    <comment ref="H301" authorId="3">
      <text>
        <r>
          <rPr>
            <b/>
            <sz val="9"/>
            <rFont val="Calibri"/>
            <family val="2"/>
          </rPr>
          <t>Patricia N'Goran:</t>
        </r>
        <r>
          <rPr>
            <sz val="9"/>
            <rFont val="Calibri"/>
            <family val="2"/>
          </rPr>
          <t xml:space="preserve">
pm se fait dans le cadre de l'agriculture
</t>
        </r>
      </text>
    </comment>
    <comment ref="H214" authorId="3">
      <text>
        <r>
          <rPr>
            <b/>
            <sz val="9"/>
            <rFont val="Calibri"/>
            <family val="2"/>
          </rPr>
          <t>Patricia N'Goran:</t>
        </r>
        <r>
          <rPr>
            <sz val="9"/>
            <rFont val="Calibri"/>
            <family val="2"/>
          </rPr>
          <t xml:space="preserve">
pm 40 000 000</t>
        </r>
      </text>
    </comment>
    <comment ref="H209" authorId="3">
      <text>
        <r>
          <rPr>
            <b/>
            <sz val="9"/>
            <rFont val="Calibri"/>
            <family val="2"/>
          </rPr>
          <t>Patricia N'Goran:</t>
        </r>
        <r>
          <rPr>
            <sz val="9"/>
            <rFont val="Calibri"/>
            <family val="2"/>
          </rPr>
          <t xml:space="preserve">
38 000 000</t>
        </r>
      </text>
    </comment>
    <comment ref="H289" authorId="3">
      <text>
        <r>
          <rPr>
            <b/>
            <sz val="9"/>
            <rFont val="Calibri"/>
            <family val="2"/>
          </rPr>
          <t>Patricia N'Goran:</t>
        </r>
        <r>
          <rPr>
            <sz val="9"/>
            <rFont val="Calibri"/>
            <family val="2"/>
          </rPr>
          <t xml:space="preserve">
PM 144 000
</t>
        </r>
      </text>
    </comment>
    <comment ref="I294" authorId="3">
      <text>
        <r>
          <rPr>
            <b/>
            <sz val="9"/>
            <rFont val="Calibri"/>
            <family val="2"/>
          </rPr>
          <t>Patricia N'Goran:</t>
        </r>
        <r>
          <rPr>
            <sz val="9"/>
            <rFont val="Calibri"/>
            <family val="2"/>
          </rPr>
          <t xml:space="preserve">
geré par les ONG et PAM
</t>
        </r>
      </text>
    </comment>
    <comment ref="G296" authorId="3">
      <text>
        <r>
          <rPr>
            <b/>
            <sz val="9"/>
            <rFont val="Calibri"/>
            <family val="2"/>
          </rPr>
          <t>Patricia N'Goran:</t>
        </r>
        <r>
          <rPr>
            <sz val="9"/>
            <rFont val="Calibri"/>
            <family val="2"/>
          </rPr>
          <t xml:space="preserve">
pour aller à la maison pour motiver scolaire</t>
        </r>
      </text>
    </comment>
    <comment ref="H296" authorId="3">
      <text>
        <r>
          <rPr>
            <b/>
            <sz val="9"/>
            <rFont val="Calibri"/>
            <family val="2"/>
          </rPr>
          <t>Patricia N'Goran:</t>
        </r>
        <r>
          <rPr>
            <sz val="9"/>
            <rFont val="Calibri"/>
            <family val="2"/>
          </rPr>
          <t xml:space="preserve">
APPAT SCOLAIRE
5 000 000
</t>
        </r>
      </text>
    </comment>
    <comment ref="H307" authorId="3">
      <text>
        <r>
          <rPr>
            <b/>
            <sz val="9"/>
            <rFont val="Calibri"/>
            <family val="2"/>
          </rPr>
          <t>Patricia N'Goran:</t>
        </r>
        <r>
          <rPr>
            <sz val="9"/>
            <rFont val="Calibri"/>
            <family val="2"/>
          </rPr>
          <t xml:space="preserve">
dejà pris en compte dans laxe 7
260 000
</t>
        </r>
      </text>
    </comment>
    <comment ref="H309" authorId="3">
      <text>
        <r>
          <rPr>
            <b/>
            <sz val="9"/>
            <rFont val="Calibri"/>
            <family val="2"/>
          </rPr>
          <t>Patricia N'Goran:</t>
        </r>
        <r>
          <rPr>
            <sz val="9"/>
            <rFont val="Calibri"/>
            <family val="2"/>
          </rPr>
          <t xml:space="preserve">
une formation par region plus coaching plus outil de rapportage
</t>
        </r>
      </text>
    </comment>
    <comment ref="I310" authorId="3">
      <text>
        <r>
          <rPr>
            <b/>
            <sz val="9"/>
            <rFont val="Calibri"/>
            <family val="2"/>
          </rPr>
          <t>Patricia N'Goran:</t>
        </r>
        <r>
          <rPr>
            <sz val="9"/>
            <rFont val="Calibri"/>
            <family val="2"/>
          </rPr>
          <t xml:space="preserve">
200 au lieu de 400
</t>
        </r>
      </text>
    </comment>
    <comment ref="I317" authorId="3">
      <text>
        <r>
          <rPr>
            <b/>
            <sz val="9"/>
            <rFont val="Calibri"/>
            <family val="2"/>
          </rPr>
          <t>Patricia N'Goran:</t>
        </r>
        <r>
          <rPr>
            <sz val="9"/>
            <rFont val="Calibri"/>
            <family val="2"/>
          </rPr>
          <t xml:space="preserve">
10 au lieu de 20 </t>
        </r>
      </text>
    </comment>
    <comment ref="H351" authorId="3">
      <text>
        <r>
          <rPr>
            <b/>
            <sz val="9"/>
            <rFont val="Calibri"/>
            <family val="2"/>
          </rPr>
          <t>Patricia N'Goran:</t>
        </r>
        <r>
          <rPr>
            <sz val="9"/>
            <rFont val="Calibri"/>
            <family val="2"/>
          </rPr>
          <t xml:space="preserve">
secretaire , charge de communication, suivi evaluation; chauffeur, coursier
</t>
        </r>
      </text>
    </comment>
    <comment ref="G351" authorId="3">
      <text>
        <r>
          <rPr>
            <b/>
            <sz val="9"/>
            <rFont val="Calibri"/>
            <family val="2"/>
          </rPr>
          <t>Patricia N'Goran:</t>
        </r>
        <r>
          <rPr>
            <sz val="9"/>
            <rFont val="Calibri"/>
            <family val="2"/>
          </rPr>
          <t xml:space="preserve">
</t>
        </r>
      </text>
    </comment>
    <comment ref="P351" authorId="3">
      <text>
        <r>
          <rPr>
            <b/>
            <sz val="9"/>
            <rFont val="Calibri"/>
            <family val="2"/>
          </rPr>
          <t>Patricia N'Goran:</t>
        </r>
        <r>
          <rPr>
            <sz val="9"/>
            <rFont val="Calibri"/>
            <family val="2"/>
          </rPr>
          <t xml:space="preserve">
</t>
        </r>
      </text>
    </comment>
    <comment ref="J110" authorId="3">
      <text>
        <r>
          <rPr>
            <b/>
            <sz val="9"/>
            <rFont val="Calibri"/>
            <family val="2"/>
          </rPr>
          <t>Patricia N'Goran:</t>
        </r>
        <r>
          <rPr>
            <sz val="9"/>
            <rFont val="Calibri"/>
            <family val="2"/>
          </rPr>
          <t xml:space="preserve">
34 la premier anné 40% DE 85 DISTRICT</t>
        </r>
      </text>
    </comment>
    <comment ref="K110" authorId="3">
      <text>
        <r>
          <rPr>
            <b/>
            <sz val="9"/>
            <rFont val="Calibri"/>
            <family val="2"/>
          </rPr>
          <t>Patricia N'Goran:</t>
        </r>
        <r>
          <rPr>
            <sz val="9"/>
            <rFont val="Calibri"/>
            <family val="2"/>
          </rPr>
          <t xml:space="preserve">
40% +40%</t>
        </r>
      </text>
    </comment>
    <comment ref="L110" authorId="3">
      <text>
        <r>
          <rPr>
            <b/>
            <sz val="9"/>
            <rFont val="Calibri"/>
            <family val="2"/>
          </rPr>
          <t>Patricia N'Goran:</t>
        </r>
        <r>
          <rPr>
            <sz val="9"/>
            <rFont val="Calibri"/>
            <family val="2"/>
          </rPr>
          <t xml:space="preserve">
40%+40%+20%</t>
        </r>
      </text>
    </comment>
    <comment ref="M110" authorId="3">
      <text>
        <r>
          <rPr>
            <b/>
            <sz val="9"/>
            <rFont val="Calibri"/>
            <family val="2"/>
          </rPr>
          <t>Patricia N'Goran:</t>
        </r>
        <r>
          <rPr>
            <sz val="9"/>
            <rFont val="Calibri"/>
            <family val="2"/>
          </rPr>
          <t xml:space="preserve">
100%</t>
        </r>
      </text>
    </comment>
    <comment ref="I137" authorId="3">
      <text>
        <r>
          <rPr>
            <b/>
            <sz val="9"/>
            <rFont val="Calibri"/>
            <family val="2"/>
          </rPr>
          <t>Patricia N'Goran:</t>
        </r>
        <r>
          <rPr>
            <sz val="9"/>
            <rFont val="Calibri"/>
            <family val="2"/>
          </rPr>
          <t xml:space="preserve">
</t>
        </r>
      </text>
    </comment>
    <comment ref="I140" authorId="3">
      <text>
        <r>
          <rPr>
            <b/>
            <sz val="9"/>
            <rFont val="Calibri"/>
            <family val="2"/>
          </rPr>
          <t>Patricia N'Goran:</t>
        </r>
        <r>
          <rPr>
            <sz val="9"/>
            <rFont val="Calibri"/>
            <family val="2"/>
          </rPr>
          <t xml:space="preserve">
 DOIVENT LE PRODUIRE EUX MMEE  PRODUIRE POUR LA PRMIERE ANN2E DE FORMATION</t>
        </r>
      </text>
    </comment>
    <comment ref="G141" authorId="3">
      <text>
        <r>
          <rPr>
            <b/>
            <sz val="9"/>
            <rFont val="Calibri"/>
            <family val="2"/>
          </rPr>
          <t>Patricia N'Goran:</t>
        </r>
        <r>
          <rPr>
            <sz val="9"/>
            <rFont val="Calibri"/>
            <family val="2"/>
          </rPr>
          <t xml:space="preserve">
1.7% MAS et avec cpmplication 15%
</t>
        </r>
      </text>
    </comment>
    <comment ref="I145" authorId="3">
      <text>
        <r>
          <rPr>
            <b/>
            <sz val="9"/>
            <rFont val="Calibri"/>
            <family val="2"/>
          </rPr>
          <t>Patricia N'Goran:</t>
        </r>
        <r>
          <rPr>
            <sz val="9"/>
            <rFont val="Calibri"/>
            <family val="2"/>
          </rPr>
          <t xml:space="preserve">
 mam 7,5%</t>
        </r>
      </text>
    </comment>
    <comment ref="I166" authorId="3">
      <text>
        <r>
          <rPr>
            <b/>
            <sz val="9"/>
            <rFont val="Calibri"/>
            <family val="2"/>
          </rPr>
          <t>Patricia N'Goran:</t>
        </r>
        <r>
          <rPr>
            <sz val="9"/>
            <rFont val="Calibri"/>
            <family val="2"/>
          </rPr>
          <t xml:space="preserve">
34 prison et deux par structure
</t>
        </r>
      </text>
    </comment>
    <comment ref="G92" authorId="3">
      <text>
        <r>
          <rPr>
            <b/>
            <sz val="9"/>
            <rFont val="Calibri"/>
            <family val="2"/>
          </rPr>
          <t>Patricia N'Goran:</t>
        </r>
        <r>
          <rPr>
            <sz val="9"/>
            <rFont val="Calibri"/>
            <family val="2"/>
          </rPr>
          <t xml:space="preserve">
</t>
        </r>
      </text>
    </comment>
    <comment ref="I71" authorId="3">
      <text>
        <r>
          <rPr>
            <b/>
            <sz val="9"/>
            <rFont val="Calibri"/>
            <family val="2"/>
          </rPr>
          <t>Patricia N'Goran:</t>
        </r>
        <r>
          <rPr>
            <sz val="9"/>
            <rFont val="Calibri"/>
            <family val="2"/>
          </rPr>
          <t xml:space="preserve">
POP ESTIME EN 2014 847 953 DONC 80%
POUR 2016 ACCROISSEMEN 2?6 *
 2
</t>
        </r>
      </text>
    </comment>
    <comment ref="G81" authorId="3">
      <text>
        <r>
          <rPr>
            <b/>
            <sz val="9"/>
            <rFont val="Calibri"/>
            <family val="2"/>
          </rPr>
          <t>Patricia N'Goran:</t>
        </r>
        <r>
          <rPr>
            <sz val="9"/>
            <rFont val="Calibri"/>
            <family val="2"/>
          </rPr>
          <t xml:space="preserve">
POPU 6_59  PAS APPLIQUE 27,2 COUVERTURE 50%</t>
        </r>
      </text>
    </comment>
    <comment ref="I357" authorId="3">
      <text>
        <r>
          <rPr>
            <b/>
            <sz val="9"/>
            <rFont val="Calibri"/>
            <family val="2"/>
          </rPr>
          <t>Patricia N'Goran:</t>
        </r>
        <r>
          <rPr>
            <sz val="9"/>
            <rFont val="Calibri"/>
            <family val="2"/>
          </rPr>
          <t xml:space="preserve">
region administrative
</t>
        </r>
      </text>
    </comment>
    <comment ref="J355" authorId="4">
      <text>
        <r>
          <rPr>
            <b/>
            <sz val="9"/>
            <rFont val="Tahoma"/>
            <family val="2"/>
          </rPr>
          <t>TOSHIBA:</t>
        </r>
        <r>
          <rPr>
            <sz val="9"/>
            <rFont val="Tahoma"/>
            <family val="2"/>
          </rPr>
          <t xml:space="preserve">
coût de participation annuel</t>
        </r>
      </text>
    </comment>
    <comment ref="F355" authorId="4">
      <text>
        <r>
          <rPr>
            <b/>
            <sz val="9"/>
            <rFont val="Tahoma"/>
            <family val="2"/>
          </rPr>
          <t>TOSHIBA:</t>
        </r>
        <r>
          <rPr>
            <sz val="9"/>
            <rFont val="Tahoma"/>
            <family val="2"/>
          </rPr>
          <t xml:space="preserve">
3 réunions par an x 2 participants par réunion sur 5 ans</t>
        </r>
      </text>
    </comment>
    <comment ref="J176" authorId="3">
      <text>
        <r>
          <rPr>
            <b/>
            <sz val="9"/>
            <rFont val="Calibri"/>
            <family val="2"/>
          </rPr>
          <t>Patricia N'Goran:</t>
        </r>
        <r>
          <rPr>
            <sz val="9"/>
            <rFont val="Calibri"/>
            <family val="2"/>
          </rPr>
          <t xml:space="preserve">
10 au lieu de 20 </t>
        </r>
      </text>
    </comment>
    <comment ref="F416" authorId="3">
      <text>
        <r>
          <rPr>
            <b/>
            <sz val="9"/>
            <rFont val="Calibri"/>
            <family val="2"/>
          </rPr>
          <t>Patricia N'Goran:</t>
        </r>
        <r>
          <rPr>
            <sz val="9"/>
            <rFont val="Calibri"/>
            <family val="2"/>
          </rPr>
          <t xml:space="preserve">
2 au lieu 5</t>
        </r>
      </text>
    </comment>
    <comment ref="I248" authorId="3">
      <text>
        <r>
          <rPr>
            <b/>
            <sz val="9"/>
            <rFont val="Calibri"/>
            <family val="2"/>
          </rPr>
          <t>Patricia N'Goran:</t>
        </r>
        <r>
          <rPr>
            <sz val="9"/>
            <rFont val="Calibri"/>
            <family val="2"/>
          </rPr>
          <t xml:space="preserve">
5 ministéres impliqués ( MSLS , MIRAH, MINAGRI,MIM, MC</t>
        </r>
      </text>
    </comment>
    <comment ref="G71" authorId="3">
      <text>
        <r>
          <rPr>
            <b/>
            <sz val="9"/>
            <rFont val="Calibri"/>
            <family val="2"/>
          </rPr>
          <t>Patricia N'Goran:</t>
        </r>
        <r>
          <rPr>
            <sz val="9"/>
            <rFont val="Calibri"/>
            <family val="2"/>
          </rPr>
          <t xml:space="preserve">
Taux de changes USD- XOF: 500 f. Cout /femme/an
Population femmes enceintes: 847 953 (projection INS 2014)
Accroissement de la population: 2,6%
Couverture :80%</t>
        </r>
      </text>
    </comment>
    <comment ref="C267" authorId="3">
      <text>
        <r>
          <rPr>
            <b/>
            <sz val="9"/>
            <rFont val="Calibri"/>
            <family val="2"/>
          </rPr>
          <t>Patricia N'Goran:</t>
        </r>
        <r>
          <rPr>
            <sz val="9"/>
            <rFont val="Calibri"/>
            <family val="2"/>
          </rPr>
          <t xml:space="preserve">
 reference à l'activité 3211</t>
        </r>
      </text>
    </comment>
    <comment ref="H4" authorId="3">
      <text>
        <r>
          <rPr>
            <b/>
            <sz val="9"/>
            <rFont val="Calibri"/>
            <family val="2"/>
          </rPr>
          <t>Patricia N'Goran:</t>
        </r>
        <r>
          <rPr>
            <sz val="9"/>
            <rFont val="Calibri"/>
            <family val="2"/>
          </rPr>
          <t xml:space="preserve">
BM Cout consultant élaboration plan com+atelier de validation</t>
        </r>
      </text>
    </comment>
    <comment ref="H5" authorId="3">
      <text>
        <r>
          <rPr>
            <b/>
            <sz val="9"/>
            <rFont val="Calibri"/>
            <family val="2"/>
          </rPr>
          <t>Patricia N'Goran:</t>
        </r>
        <r>
          <rPr>
            <sz val="9"/>
            <rFont val="Calibri"/>
            <family val="2"/>
          </rPr>
          <t xml:space="preserve">
2000 au lieu de 5000</t>
        </r>
      </text>
    </comment>
    <comment ref="H7" authorId="3">
      <text>
        <r>
          <rPr>
            <b/>
            <sz val="9"/>
            <rFont val="Calibri"/>
            <family val="2"/>
          </rPr>
          <t>Patricia N'Goran:</t>
        </r>
        <r>
          <rPr>
            <sz val="9"/>
            <rFont val="Calibri"/>
            <family val="2"/>
          </rPr>
          <t xml:space="preserve">
supprimer la boite à image là</t>
        </r>
      </text>
    </comment>
    <comment ref="I7" authorId="3">
      <text>
        <r>
          <rPr>
            <b/>
            <sz val="9"/>
            <rFont val="Calibri"/>
            <family val="2"/>
          </rPr>
          <t>Patricia N'Goran:</t>
        </r>
        <r>
          <rPr>
            <sz val="9"/>
            <rFont val="Calibri"/>
            <family val="2"/>
          </rPr>
          <t xml:space="preserve">
1910 20%
BM 63,000: prospectu+affiche A4+affiche grands formats+autres supports
1910 Etablissements Sanitaires de Premiers Contacts (ESPC) ; 66 Hôpitaux Généraux; 17 Centres Hospitaliers Régionaux, 02 Centres Hospitaliers Spécialisés)
Taux de couverture: 90% (strutures non encore couvertes)</t>
        </r>
      </text>
    </comment>
    <comment ref="P7" authorId="3">
      <text>
        <r>
          <rPr>
            <b/>
            <sz val="9"/>
            <rFont val="Calibri"/>
            <family val="2"/>
          </rPr>
          <t>Patricia N'Goran:</t>
        </r>
        <r>
          <rPr>
            <sz val="9"/>
            <rFont val="Calibri"/>
            <family val="2"/>
          </rPr>
          <t xml:space="preserve">
au lieu de 113 116 500
</t>
        </r>
      </text>
    </comment>
    <comment ref="F8" authorId="3">
      <text>
        <r>
          <rPr>
            <b/>
            <sz val="9"/>
            <rFont val="Calibri"/>
            <family val="2"/>
          </rPr>
          <t>Patricia N'Goran:</t>
        </r>
        <r>
          <rPr>
            <sz val="9"/>
            <rFont val="Calibri"/>
            <family val="2"/>
          </rPr>
          <t xml:space="preserve">
500</t>
        </r>
      </text>
    </comment>
    <comment ref="G8" authorId="3">
      <text>
        <r>
          <rPr>
            <b/>
            <sz val="9"/>
            <rFont val="Calibri"/>
            <family val="2"/>
          </rPr>
          <t>Patricia N'Goran:</t>
        </r>
        <r>
          <rPr>
            <sz val="9"/>
            <rFont val="Calibri"/>
            <family val="2"/>
          </rPr>
          <t xml:space="preserve">
paser la convention la premiere année seulement</t>
        </r>
      </text>
    </comment>
    <comment ref="I8" authorId="3">
      <text>
        <r>
          <rPr>
            <b/>
            <sz val="9"/>
            <rFont val="Calibri"/>
            <family val="2"/>
          </rPr>
          <t>Patricia N'Goran:</t>
        </r>
        <r>
          <rPr>
            <sz val="9"/>
            <rFont val="Calibri"/>
            <family val="2"/>
          </rPr>
          <t xml:space="preserve">
bm Cout : Annexe convention organisation de la caravane sur les bonnes pratiques nutritionnelles (6292: frais de reception,de fete et de ceremonie)                                    Quantite : Estimation du consultant, Tous les mois sur 100 radios</t>
        </r>
      </text>
    </comment>
    <comment ref="G9" authorId="3">
      <text>
        <r>
          <rPr>
            <b/>
            <sz val="9"/>
            <rFont val="Calibri"/>
            <family val="2"/>
          </rPr>
          <t>Patricia N'Goran:</t>
        </r>
        <r>
          <rPr>
            <sz val="9"/>
            <rFont val="Calibri"/>
            <family val="2"/>
          </rPr>
          <t xml:space="preserve">
Le PNN a estimé a deux  spots par année</t>
        </r>
      </text>
    </comment>
    <comment ref="H9" authorId="3">
      <text>
        <r>
          <rPr>
            <b/>
            <sz val="9"/>
            <rFont val="Calibri"/>
            <family val="2"/>
          </rPr>
          <t>Patricia N'Goran:</t>
        </r>
        <r>
          <rPr>
            <sz val="9"/>
            <rFont val="Calibri"/>
            <family val="2"/>
          </rPr>
          <t xml:space="preserve">
60 000 au lieu de 100
</t>
        </r>
      </text>
    </comment>
    <comment ref="I9" authorId="3">
      <text>
        <r>
          <rPr>
            <b/>
            <sz val="9"/>
            <rFont val="Calibri"/>
            <family val="2"/>
          </rPr>
          <t>Patricia N'Goran:</t>
        </r>
        <r>
          <rPr>
            <sz val="9"/>
            <rFont val="Calibri"/>
            <family val="2"/>
          </rPr>
          <t xml:space="preserve">
Le PNN a estimé a deux  spots par année</t>
        </r>
      </text>
    </comment>
    <comment ref="G10" authorId="3">
      <text>
        <r>
          <rPr>
            <b/>
            <sz val="9"/>
            <rFont val="Calibri"/>
            <family val="2"/>
          </rPr>
          <t>Patricia N'Goran:</t>
        </r>
        <r>
          <rPr>
            <sz val="9"/>
            <rFont val="Calibri"/>
            <family val="2"/>
          </rPr>
          <t xml:space="preserve">
pas pertinent</t>
        </r>
      </text>
    </comment>
    <comment ref="F12" authorId="0">
      <text>
        <r>
          <rPr>
            <sz val="9"/>
            <rFont val="Tahoma"/>
            <family val="2"/>
          </rPr>
          <t>1 émission par mois sur 5 ans</t>
        </r>
      </text>
    </comment>
    <comment ref="H12" authorId="3">
      <text>
        <r>
          <rPr>
            <b/>
            <sz val="9"/>
            <rFont val="Calibri"/>
            <family val="2"/>
          </rPr>
          <t>Patricia N'Goran:</t>
        </r>
        <r>
          <rPr>
            <sz val="9"/>
            <rFont val="Calibri"/>
            <family val="2"/>
          </rPr>
          <t xml:space="preserve">
passer plutot une convention
reduire de 2 à 1 000 000</t>
        </r>
      </text>
    </comment>
    <comment ref="I12" authorId="3">
      <text>
        <r>
          <rPr>
            <b/>
            <sz val="9"/>
            <rFont val="Calibri"/>
            <family val="2"/>
          </rPr>
          <t>Patricia N'Goran:</t>
        </r>
        <r>
          <rPr>
            <sz val="9"/>
            <rFont val="Calibri"/>
            <family val="2"/>
          </rPr>
          <t xml:space="preserve">
Tarif moyen RTI pour un PAD pour 5 min</t>
        </r>
      </text>
    </comment>
    <comment ref="F13" authorId="0">
      <text>
        <r>
          <rPr>
            <sz val="9"/>
            <rFont val="Tahoma"/>
            <family val="2"/>
          </rPr>
          <t xml:space="preserve">
70% au LIEU de 100       1 activité par an et par région sanitaire (20) </t>
        </r>
      </text>
    </comment>
    <comment ref="H13" authorId="3">
      <text>
        <r>
          <rPr>
            <b/>
            <sz val="9"/>
            <rFont val="Calibri"/>
            <family val="2"/>
          </rPr>
          <t>Patricia N'Goran:</t>
        </r>
        <r>
          <rPr>
            <sz val="9"/>
            <rFont val="Calibri"/>
            <family val="2"/>
          </rPr>
          <t xml:space="preserve">
au lieu de 15 ramener à 10 000</t>
        </r>
      </text>
    </comment>
    <comment ref="I13" authorId="3">
      <text>
        <r>
          <rPr>
            <b/>
            <sz val="9"/>
            <rFont val="Calibri"/>
            <family val="2"/>
          </rPr>
          <t>Patricia N'Goran:</t>
        </r>
        <r>
          <rPr>
            <sz val="9"/>
            <rFont val="Calibri"/>
            <family val="2"/>
          </rPr>
          <t xml:space="preserve">
70% des règions
(BM convention organisation de la caravane sur les bonnes pratiques nutritionnelles (6292: frais de reception,de fete et de ceremonie)</t>
        </r>
      </text>
    </comment>
    <comment ref="H14" authorId="3">
      <text>
        <r>
          <rPr>
            <b/>
            <sz val="9"/>
            <rFont val="Calibri"/>
            <family val="2"/>
          </rPr>
          <t>Patricia N'Goran:</t>
        </r>
        <r>
          <rPr>
            <sz val="9"/>
            <rFont val="Calibri"/>
            <family val="2"/>
          </rPr>
          <t xml:space="preserve">
4 000 000 par region 14 pour abidjan</t>
        </r>
      </text>
    </comment>
    <comment ref="H15" authorId="3">
      <text>
        <r>
          <rPr>
            <b/>
            <sz val="9"/>
            <rFont val="Calibri"/>
            <family val="2"/>
          </rPr>
          <t>Patricia N'Goran:</t>
        </r>
        <r>
          <rPr>
            <sz val="9"/>
            <rFont val="Calibri"/>
            <family val="2"/>
          </rPr>
          <t xml:space="preserve">
</t>
        </r>
      </text>
    </comment>
    <comment ref="G16" authorId="3">
      <text>
        <r>
          <rPr>
            <b/>
            <sz val="9"/>
            <rFont val="Calibri"/>
            <family val="2"/>
          </rPr>
          <t>Patricia N'Goran:</t>
        </r>
        <r>
          <rPr>
            <sz val="9"/>
            <rFont val="Calibri"/>
            <family val="2"/>
          </rPr>
          <t xml:space="preserve">
elle se fera comme dans une seule localité tournante
</t>
        </r>
      </text>
    </comment>
    <comment ref="F17" authorId="0">
      <text>
        <r>
          <rPr>
            <sz val="9"/>
            <rFont val="Tahoma"/>
            <family val="2"/>
          </rPr>
          <t xml:space="preserve">
3 modules à élaborer selon les groupes cibles à former : 
- 1 module pour les  agents communautaires, les travailleurs sociaux,  les maitresses d'éducation permanente et agents de développement rural ; 
- 1 module pour les religieux;
- 1 module pour les  tradi-thérapeutes
</t>
        </r>
      </text>
    </comment>
    <comment ref="H17" authorId="3">
      <text>
        <r>
          <rPr>
            <b/>
            <sz val="9"/>
            <rFont val="Calibri"/>
            <family val="2"/>
          </rPr>
          <t>Patricia N'Goran:</t>
        </r>
        <r>
          <rPr>
            <sz val="9"/>
            <rFont val="Calibri"/>
            <family val="2"/>
          </rPr>
          <t xml:space="preserve">
70000 latelier 3000 000</t>
        </r>
      </text>
    </comment>
    <comment ref="I17" authorId="0">
      <text>
        <r>
          <rPr>
            <b/>
            <sz val="9"/>
            <rFont val="Tahoma"/>
            <family val="2"/>
          </rPr>
          <t>DIA NOEL:</t>
        </r>
        <r>
          <rPr>
            <sz val="9"/>
            <rFont val="Tahoma"/>
            <family val="2"/>
          </rPr>
          <t xml:space="preserve">
3 modules à élaborer selon les groupes cibles à former : 
- 1 module pour les  agents communautaires, les travailleurs sociaux,  les maitresses d'éducation permanente et agents de développement rural ; 
- 1 module pour les religieux;
- 1 module pour les  tradi-thérapeutes
</t>
        </r>
      </text>
    </comment>
    <comment ref="H30" authorId="3">
      <text>
        <r>
          <rPr>
            <b/>
            <sz val="9"/>
            <rFont val="Calibri"/>
            <family val="2"/>
          </rPr>
          <t>Patricia N'Goran:</t>
        </r>
        <r>
          <rPr>
            <sz val="9"/>
            <rFont val="Calibri"/>
            <family val="2"/>
          </rPr>
          <t xml:space="preserve">
35 000 PAR MOIS OU RENDRE PLUS PERREN PAR UNE AGR POUR LE MONTANT DE 420 0000</t>
        </r>
      </text>
    </comment>
    <comment ref="G39" authorId="3">
      <text>
        <r>
          <rPr>
            <b/>
            <sz val="9"/>
            <rFont val="Calibri"/>
            <family val="2"/>
          </rPr>
          <t>Patricia N'Goran:</t>
        </r>
        <r>
          <rPr>
            <sz val="9"/>
            <rFont val="Calibri"/>
            <family val="2"/>
          </rPr>
          <t xml:space="preserve">
diagnostic communautaire equipement ( megaphone, moto, natte, muac…boite à image
</t>
        </r>
      </text>
    </comment>
    <comment ref="G41" authorId="3">
      <text>
        <r>
          <rPr>
            <b/>
            <sz val="9"/>
            <rFont val="Calibri"/>
            <family val="2"/>
          </rPr>
          <t>Patricia N'Goran:</t>
        </r>
        <r>
          <rPr>
            <sz val="9"/>
            <rFont val="Calibri"/>
            <family val="2"/>
          </rPr>
          <t xml:space="preserve">
sur deux ans apres perennisation par la communauté </t>
        </r>
      </text>
    </comment>
    <comment ref="G50" authorId="3">
      <text>
        <r>
          <rPr>
            <b/>
            <sz val="9"/>
            <rFont val="Calibri"/>
            <family val="2"/>
          </rPr>
          <t>Patricia N'Goran:</t>
        </r>
        <r>
          <rPr>
            <sz val="9"/>
            <rFont val="Calibri"/>
            <family val="2"/>
          </rPr>
          <t xml:space="preserve">
activité integrée</t>
        </r>
      </text>
    </comment>
    <comment ref="I50" authorId="2">
      <text>
        <r>
          <rPr>
            <b/>
            <sz val="9"/>
            <rFont val="Tahoma"/>
            <family val="2"/>
          </rPr>
          <t>konan PC:</t>
        </r>
        <r>
          <rPr>
            <sz val="9"/>
            <rFont val="Tahoma"/>
            <family val="2"/>
          </rPr>
          <t xml:space="preserve">
80% des mères de cette population est touchées au moins une fois sur les 5 ans</t>
        </r>
      </text>
    </comment>
    <comment ref="H57" authorId="3">
      <text>
        <r>
          <rPr>
            <b/>
            <sz val="9"/>
            <rFont val="Calibri"/>
            <family val="2"/>
          </rPr>
          <t>Patricia N'Goran:</t>
        </r>
        <r>
          <rPr>
            <sz val="9"/>
            <rFont val="Calibri"/>
            <family val="2"/>
          </rPr>
          <t xml:space="preserve">
cout de 20 HAB</t>
        </r>
      </text>
    </comment>
    <comment ref="I59" authorId="2">
      <text>
        <r>
          <rPr>
            <b/>
            <sz val="9"/>
            <rFont val="Tahoma"/>
            <family val="2"/>
          </rPr>
          <t>MJO :</t>
        </r>
        <r>
          <rPr>
            <sz val="9"/>
            <rFont val="Tahoma"/>
            <family val="2"/>
          </rPr>
          <t xml:space="preserve">
01 centre social par département et un par commune d'abidjan.
RCI: 97 Départements du pays et 13 communes Ville d'abidjan. </t>
        </r>
      </text>
    </comment>
    <comment ref="H61" authorId="2">
      <text>
        <r>
          <rPr>
            <b/>
            <sz val="9"/>
            <rFont val="Tahoma"/>
            <family val="2"/>
          </rPr>
          <t>konan PC:</t>
        </r>
        <r>
          <rPr>
            <sz val="9"/>
            <rFont val="Tahoma"/>
            <family val="2"/>
          </rPr>
          <t xml:space="preserve">
un outil par centre et mois</t>
        </r>
      </text>
    </comment>
    <comment ref="I61" authorId="2">
      <text>
        <r>
          <rPr>
            <b/>
            <sz val="9"/>
            <rFont val="Tahoma"/>
            <family val="2"/>
          </rPr>
          <t>MJO :</t>
        </r>
        <r>
          <rPr>
            <sz val="9"/>
            <rFont val="Tahoma"/>
            <family val="2"/>
          </rPr>
          <t xml:space="preserve">
01 centre social par département et un par commune d'abidjan.
RCI: 97 Départements du pays et 13 communes Ville d'abidjan. </t>
        </r>
      </text>
    </comment>
    <comment ref="F66" authorId="3">
      <text>
        <r>
          <rPr>
            <b/>
            <sz val="9"/>
            <rFont val="Calibri"/>
            <family val="2"/>
          </rPr>
          <t>Patricia N'Goran:</t>
        </r>
        <r>
          <rPr>
            <sz val="9"/>
            <rFont val="Calibri"/>
            <family val="2"/>
          </rPr>
          <t xml:space="preserve">
70% </t>
        </r>
      </text>
    </comment>
    <comment ref="H66" authorId="3">
      <text>
        <r>
          <rPr>
            <b/>
            <sz val="9"/>
            <rFont val="Calibri"/>
            <family val="2"/>
          </rPr>
          <t>Patricia N'Goran:</t>
        </r>
        <r>
          <rPr>
            <sz val="9"/>
            <rFont val="Calibri"/>
            <family val="2"/>
          </rPr>
          <t xml:space="preserve">
y compris le renforcement des capacites et la supervision des marché scolairese </t>
        </r>
      </text>
    </comment>
    <comment ref="I66" authorId="2">
      <text>
        <r>
          <rPr>
            <b/>
            <sz val="9"/>
            <rFont val="Tahoma"/>
            <family val="2"/>
          </rPr>
          <t>konan PC: 10 000 publique et 4000</t>
        </r>
        <r>
          <rPr>
            <sz val="9"/>
            <rFont val="Tahoma"/>
            <family val="2"/>
          </rPr>
          <t xml:space="preserve">
Base de 150
 écoles pour chacunes des 31 régions admnistratives y compris  50 CPE</t>
        </r>
      </text>
    </comment>
    <comment ref="H69" authorId="3">
      <text>
        <r>
          <rPr>
            <b/>
            <sz val="9"/>
            <rFont val="Calibri"/>
            <family val="2"/>
          </rPr>
          <t>Patricia N'Goran:</t>
        </r>
        <r>
          <rPr>
            <sz val="9"/>
            <rFont val="Calibri"/>
            <family val="2"/>
          </rPr>
          <t xml:space="preserve">
Cout consultant pour la revision des modules  nutrition +atelier de validation</t>
        </r>
      </text>
    </comment>
    <comment ref="I256" authorId="3">
      <text>
        <r>
          <rPr>
            <b/>
            <sz val="9"/>
            <rFont val="Calibri"/>
            <family val="2"/>
          </rPr>
          <t>Patricia N'Goran:</t>
        </r>
        <r>
          <rPr>
            <sz val="9"/>
            <rFont val="Calibri"/>
            <family val="2"/>
          </rPr>
          <t xml:space="preserve">
MSHP MESRS MINADER MIRAH </t>
        </r>
      </text>
    </comment>
    <comment ref="I253" authorId="3">
      <text>
        <r>
          <rPr>
            <b/>
            <sz val="9"/>
            <rFont val="Calibri"/>
            <family val="2"/>
          </rPr>
          <t>Patricia N'Goran:</t>
        </r>
        <r>
          <rPr>
            <sz val="9"/>
            <rFont val="Calibri"/>
            <family val="2"/>
          </rPr>
          <t xml:space="preserve">
mc mirah minader
</t>
        </r>
      </text>
    </comment>
    <comment ref="I20" authorId="3">
      <text>
        <r>
          <rPr>
            <b/>
            <sz val="9"/>
            <rFont val="Calibri"/>
            <family val="2"/>
          </rPr>
          <t>Patricia N'Goran:</t>
        </r>
        <r>
          <rPr>
            <sz val="9"/>
            <rFont val="Calibri"/>
            <family val="2"/>
          </rPr>
          <t xml:space="preserve">
6000 dont 2000 santé 2000 prsociaux  2000 FEMMMES FAMilles</t>
        </r>
      </text>
    </comment>
    <comment ref="I39" authorId="3">
      <text>
        <r>
          <rPr>
            <b/>
            <sz val="9"/>
            <rFont val="Calibri"/>
            <family val="2"/>
          </rPr>
          <t>Patricia N'Goran:</t>
        </r>
        <r>
          <rPr>
            <sz val="9"/>
            <rFont val="Calibri"/>
            <family val="2"/>
          </rPr>
          <t xml:space="preserve">
300  pour FFAMILLE</t>
        </r>
      </text>
    </comment>
    <comment ref="I27" authorId="3">
      <text>
        <r>
          <rPr>
            <b/>
            <sz val="9"/>
            <rFont val="Calibri"/>
            <family val="2"/>
          </rPr>
          <t>Patricia N'Goran:</t>
        </r>
        <r>
          <rPr>
            <sz val="9"/>
            <rFont val="Calibri"/>
            <family val="2"/>
          </rPr>
          <t xml:space="preserve">
 8 170 POUR LES DEUX AUTRES
</t>
        </r>
      </text>
    </comment>
    <comment ref="I46" authorId="3">
      <text>
        <r>
          <rPr>
            <b/>
            <sz val="9"/>
            <rFont val="Calibri"/>
            <family val="2"/>
          </rPr>
          <t>Patricia N'Goran:</t>
        </r>
        <r>
          <rPr>
            <sz val="9"/>
            <rFont val="Calibri"/>
            <family val="2"/>
          </rPr>
          <t xml:space="preserve">
300 FFE</t>
        </r>
      </text>
    </comment>
    <comment ref="G52" authorId="3">
      <text>
        <r>
          <rPr>
            <b/>
            <sz val="9"/>
            <rFont val="Calibri"/>
            <family val="2"/>
          </rPr>
          <t>Patricia N'Goran:</t>
        </r>
        <r>
          <rPr>
            <sz val="9"/>
            <rFont val="Calibri"/>
            <family val="2"/>
          </rPr>
          <t xml:space="preserve">
80  departement en moyenne et trois ministeres concerné et trois par departements
</t>
        </r>
      </text>
    </comment>
    <comment ref="I55" authorId="3">
      <text>
        <r>
          <rPr>
            <b/>
            <sz val="9"/>
            <rFont val="Calibri"/>
            <family val="2"/>
          </rPr>
          <t>Patricia N'Goran:</t>
        </r>
        <r>
          <rPr>
            <sz val="9"/>
            <rFont val="Calibri"/>
            <family val="2"/>
          </rPr>
          <t xml:space="preserve">
136 santé et 68 pour FFE 68 MEPS
</t>
        </r>
      </text>
    </comment>
    <comment ref="I52" authorId="3">
      <text>
        <r>
          <rPr>
            <b/>
            <sz val="9"/>
            <rFont val="Calibri"/>
            <family val="2"/>
          </rPr>
          <t>Patricia N'Goran:</t>
        </r>
        <r>
          <rPr>
            <sz val="9"/>
            <rFont val="Calibri"/>
            <family val="2"/>
          </rPr>
          <t xml:space="preserve">
sur 24 12 pour la santé</t>
        </r>
      </text>
    </comment>
    <comment ref="I158" authorId="3">
      <text>
        <r>
          <rPr>
            <b/>
            <sz val="9"/>
            <rFont val="Calibri"/>
            <family val="2"/>
          </rPr>
          <t>Patricia N'Goran:</t>
        </r>
        <r>
          <rPr>
            <sz val="9"/>
            <rFont val="Calibri"/>
            <family val="2"/>
          </rPr>
          <t xml:space="preserve">
140 000 PVIH PREVALENCE 25% COUVRTURE 80%</t>
        </r>
      </text>
    </comment>
    <comment ref="I25" authorId="3">
      <text>
        <r>
          <rPr>
            <b/>
            <sz val="9"/>
            <rFont val="Calibri"/>
            <family val="2"/>
          </rPr>
          <t>Patricia N'Goran:</t>
        </r>
        <r>
          <rPr>
            <sz val="9"/>
            <rFont val="Calibri"/>
            <family val="2"/>
          </rPr>
          <t xml:space="preserve">
 8 170 POUR LES DEUX AUTRES
</t>
        </r>
      </text>
    </comment>
    <comment ref="I26" authorId="3">
      <text>
        <r>
          <rPr>
            <b/>
            <sz val="9"/>
            <rFont val="Calibri"/>
            <family val="2"/>
          </rPr>
          <t>Patricia N'Goran:</t>
        </r>
        <r>
          <rPr>
            <sz val="9"/>
            <rFont val="Calibri"/>
            <family val="2"/>
          </rPr>
          <t xml:space="preserve">
 8 170 POUR LES DEUX AUTRES
</t>
        </r>
      </text>
    </comment>
    <comment ref="H32" authorId="3">
      <text>
        <r>
          <rPr>
            <b/>
            <sz val="9"/>
            <rFont val="Calibri"/>
            <family val="2"/>
          </rPr>
          <t>Patricia N'Goran:</t>
        </r>
        <r>
          <rPr>
            <sz val="9"/>
            <rFont val="Calibri"/>
            <family val="2"/>
          </rPr>
          <t xml:space="preserve">
35 000 PAR MOIS OU RENDRE PLUS PERREN PAR UNE AGR POUR LE MONTANT DE 420 0000</t>
        </r>
      </text>
    </comment>
    <comment ref="G37" authorId="3">
      <text>
        <r>
          <rPr>
            <b/>
            <sz val="9"/>
            <rFont val="Calibri"/>
            <family val="2"/>
          </rPr>
          <t>Patricia N'Goran:</t>
        </r>
        <r>
          <rPr>
            <sz val="9"/>
            <rFont val="Calibri"/>
            <family val="2"/>
          </rPr>
          <t xml:space="preserve">
diagnostic communautaire equipement ( megaphone, moto, natte, muac…boite à image
</t>
        </r>
      </text>
    </comment>
    <comment ref="I37" authorId="3">
      <text>
        <r>
          <rPr>
            <b/>
            <sz val="9"/>
            <rFont val="Calibri"/>
            <family val="2"/>
          </rPr>
          <t>Patricia N'Goran:</t>
        </r>
        <r>
          <rPr>
            <sz val="9"/>
            <rFont val="Calibri"/>
            <family val="2"/>
          </rPr>
          <t xml:space="preserve">
300  pour FFAMILLE</t>
        </r>
      </text>
    </comment>
    <comment ref="H40" authorId="3">
      <text>
        <r>
          <rPr>
            <b/>
            <sz val="9"/>
            <rFont val="Calibri"/>
            <family val="2"/>
          </rPr>
          <t>Patricia N'Goran:</t>
        </r>
        <r>
          <rPr>
            <sz val="9"/>
            <rFont val="Calibri"/>
            <family val="2"/>
          </rPr>
          <t xml:space="preserve">
2 MSHP 2MPFFPE + Chauffeur moyenne carburant 50 000</t>
        </r>
      </text>
    </comment>
    <comment ref="I44" authorId="3">
      <text>
        <r>
          <rPr>
            <b/>
            <sz val="9"/>
            <rFont val="Calibri"/>
            <family val="2"/>
          </rPr>
          <t>Patricia N'Goran:</t>
        </r>
        <r>
          <rPr>
            <sz val="9"/>
            <rFont val="Calibri"/>
            <family val="2"/>
          </rPr>
          <t xml:space="preserve">
300 FFE</t>
        </r>
      </text>
    </comment>
    <comment ref="F49" authorId="3">
      <text>
        <r>
          <rPr>
            <b/>
            <sz val="9"/>
            <rFont val="Calibri"/>
            <family val="2"/>
          </rPr>
          <t>Patricia N'Goran:</t>
        </r>
        <r>
          <rPr>
            <sz val="9"/>
            <rFont val="Calibri"/>
            <family val="2"/>
          </rPr>
          <t xml:space="preserve">
au lieu de 30%</t>
        </r>
      </text>
    </comment>
    <comment ref="G49" authorId="3">
      <text>
        <r>
          <rPr>
            <b/>
            <sz val="9"/>
            <rFont val="Calibri"/>
            <family val="2"/>
          </rPr>
          <t>Patricia N'Goran: supprimer</t>
        </r>
        <r>
          <rPr>
            <sz val="9"/>
            <rFont val="Calibri"/>
            <family val="2"/>
          </rPr>
          <t xml:space="preserve">
/orientation des mères d'enfants de 0-23 mois sur l'Alimentation du nourisson et du jeune enfant
Taux de changes USD- XOF: 500 f. Cout /enfant/an
Population 0-23 mois: 1 504 789 (projection INS 2014)
Accroissement de la population: 2,6%
Couverture :30% des mères des enfants de 0-23 mois beneficient des séances de sensibilisation en AEN+  réalisées par les Agents Communautaires.</t>
        </r>
      </text>
    </comment>
    <comment ref="H49" authorId="3">
      <text>
        <r>
          <rPr>
            <b/>
            <sz val="9"/>
            <rFont val="Calibri"/>
            <family val="2"/>
          </rPr>
          <t>Patricia N'Goran:</t>
        </r>
        <r>
          <rPr>
            <sz val="9"/>
            <rFont val="Calibri"/>
            <family val="2"/>
          </rPr>
          <t xml:space="preserve">
30 000 la seéance de 30 femme à raison de 1000 par femme PAR GROUPE PLUS AVANTAGE</t>
        </r>
      </text>
    </comment>
    <comment ref="I49" authorId="3">
      <text>
        <r>
          <rPr>
            <b/>
            <sz val="9"/>
            <rFont val="Calibri"/>
            <family val="2"/>
          </rPr>
          <t>Patricia N'Goran:</t>
        </r>
        <r>
          <rPr>
            <sz val="9"/>
            <rFont val="Calibri"/>
            <family val="2"/>
          </rPr>
          <t xml:space="preserve">
sur 111240 la moitie pour la santé
</t>
        </r>
      </text>
    </comment>
    <comment ref="F47" authorId="3">
      <text>
        <r>
          <rPr>
            <b/>
            <sz val="9"/>
            <rFont val="Calibri"/>
            <family val="2"/>
          </rPr>
          <t>Patricia N'Goran:</t>
        </r>
        <r>
          <rPr>
            <sz val="9"/>
            <rFont val="Calibri"/>
            <family val="2"/>
          </rPr>
          <t xml:space="preserve">
au lieu de 30%</t>
        </r>
      </text>
    </comment>
    <comment ref="G47" authorId="3">
      <text>
        <r>
          <rPr>
            <b/>
            <sz val="9"/>
            <rFont val="Calibri"/>
            <family val="2"/>
          </rPr>
          <t>Patricia N'Goran: supprimer</t>
        </r>
        <r>
          <rPr>
            <sz val="9"/>
            <rFont val="Calibri"/>
            <family val="2"/>
          </rPr>
          <t xml:space="preserve">
/orientation des mères d'enfants de 0-23 mois sur l'Alimentation du nourisson et du jeune enfant
Taux de changes USD- XOF: 500 f. Cout /enfant/an
Population 0-23 mois: 1 504 789 (projection INS 2014)
Accroissement de la population: 2,6%
Couverture :30% des mères des enfants de 0-23 mois beneficient des séances de sensibilisation en AEN+  réalisées par les Agents Communautaires.</t>
        </r>
      </text>
    </comment>
    <comment ref="H47" authorId="3">
      <text>
        <r>
          <rPr>
            <b/>
            <sz val="9"/>
            <rFont val="Calibri"/>
            <family val="2"/>
          </rPr>
          <t>Patricia N'Goran:</t>
        </r>
        <r>
          <rPr>
            <sz val="9"/>
            <rFont val="Calibri"/>
            <family val="2"/>
          </rPr>
          <t xml:space="preserve">
30 000 la seéance de 30 femme à raison de 1000 par femme PAR GROUPE PLUS AVANTAGE</t>
        </r>
      </text>
    </comment>
    <comment ref="I47" authorId="3">
      <text>
        <r>
          <rPr>
            <b/>
            <sz val="9"/>
            <rFont val="Calibri"/>
            <family val="2"/>
          </rPr>
          <t>Patricia N'Goran:</t>
        </r>
        <r>
          <rPr>
            <sz val="9"/>
            <rFont val="Calibri"/>
            <family val="2"/>
          </rPr>
          <t xml:space="preserve">
sur 111240 la moitie pour la santé
</t>
        </r>
      </text>
    </comment>
    <comment ref="F65" authorId="3">
      <text>
        <r>
          <rPr>
            <b/>
            <sz val="9"/>
            <rFont val="Calibri"/>
            <family val="2"/>
          </rPr>
          <t>Patricia N'Goran:</t>
        </r>
        <r>
          <rPr>
            <sz val="9"/>
            <rFont val="Calibri"/>
            <family val="2"/>
          </rPr>
          <t xml:space="preserve">
70% </t>
        </r>
      </text>
    </comment>
    <comment ref="H65" authorId="3">
      <text>
        <r>
          <rPr>
            <b/>
            <sz val="9"/>
            <rFont val="Calibri"/>
            <family val="2"/>
          </rPr>
          <t>Patricia N'Goran:</t>
        </r>
        <r>
          <rPr>
            <sz val="9"/>
            <rFont val="Calibri"/>
            <family val="2"/>
          </rPr>
          <t xml:space="preserve">
y compris le renforcement des capacites et la supervision des marché scolairese </t>
        </r>
      </text>
    </comment>
    <comment ref="I65" authorId="2">
      <text>
        <r>
          <rPr>
            <b/>
            <sz val="9"/>
            <rFont val="Tahoma"/>
            <family val="2"/>
          </rPr>
          <t>konan PC: 10 000 publique et 4000</t>
        </r>
        <r>
          <rPr>
            <sz val="9"/>
            <rFont val="Tahoma"/>
            <family val="2"/>
          </rPr>
          <t xml:space="preserve">
Base de 150
 écoles pour chacunes des 31 régions admnistratives y compris  50 CPE</t>
        </r>
      </text>
    </comment>
    <comment ref="H68" authorId="3">
      <text>
        <r>
          <rPr>
            <b/>
            <sz val="9"/>
            <rFont val="Calibri"/>
            <family val="2"/>
          </rPr>
          <t>Patricia N'Goran:</t>
        </r>
        <r>
          <rPr>
            <sz val="9"/>
            <rFont val="Calibri"/>
            <family val="2"/>
          </rPr>
          <t xml:space="preserve">
</t>
        </r>
      </text>
    </comment>
    <comment ref="H67" authorId="3">
      <text>
        <r>
          <rPr>
            <b/>
            <sz val="9"/>
            <rFont val="Calibri"/>
            <family val="2"/>
          </rPr>
          <t>Patricia N'Goran:</t>
        </r>
        <r>
          <rPr>
            <sz val="9"/>
            <rFont val="Calibri"/>
            <family val="2"/>
          </rPr>
          <t xml:space="preserve">
2 MSHP 2MPFFPE + Chauffeur moyenne carburant 50 000</t>
        </r>
      </text>
    </comment>
    <comment ref="I53" authorId="3">
      <text>
        <r>
          <rPr>
            <b/>
            <sz val="9"/>
            <rFont val="Calibri"/>
            <family val="2"/>
          </rPr>
          <t>Patricia N'Goran:</t>
        </r>
        <r>
          <rPr>
            <sz val="9"/>
            <rFont val="Calibri"/>
            <family val="2"/>
          </rPr>
          <t xml:space="preserve">
136 santé et 68 pour FFE 68 MEPS
</t>
        </r>
      </text>
    </comment>
    <comment ref="I54" authorId="3">
      <text>
        <r>
          <rPr>
            <b/>
            <sz val="9"/>
            <rFont val="Calibri"/>
            <family val="2"/>
          </rPr>
          <t>Patricia N'Goran:</t>
        </r>
        <r>
          <rPr>
            <sz val="9"/>
            <rFont val="Calibri"/>
            <family val="2"/>
          </rPr>
          <t xml:space="preserve">
136 santé et 68 pour FFE 68 MEPS
</t>
        </r>
      </text>
    </comment>
    <comment ref="I58" authorId="2">
      <text>
        <r>
          <rPr>
            <b/>
            <sz val="9"/>
            <rFont val="Tahoma"/>
            <family val="2"/>
          </rPr>
          <t>MJO :</t>
        </r>
        <r>
          <rPr>
            <sz val="9"/>
            <rFont val="Tahoma"/>
            <family val="2"/>
          </rPr>
          <t xml:space="preserve">
01 centre social par département et un par commune d'abidjan.
RCI: 97 Départements du pays et 13 communes Ville d'abidjan. </t>
        </r>
      </text>
    </comment>
    <comment ref="H60" authorId="2">
      <text>
        <r>
          <rPr>
            <b/>
            <sz val="9"/>
            <rFont val="Tahoma"/>
            <family val="2"/>
          </rPr>
          <t>konan PC:</t>
        </r>
        <r>
          <rPr>
            <sz val="9"/>
            <rFont val="Tahoma"/>
            <family val="2"/>
          </rPr>
          <t xml:space="preserve">
un outil par centre et mois</t>
        </r>
      </text>
    </comment>
    <comment ref="I60" authorId="2">
      <text>
        <r>
          <rPr>
            <b/>
            <sz val="9"/>
            <rFont val="Tahoma"/>
            <family val="2"/>
          </rPr>
          <t>MJO :</t>
        </r>
        <r>
          <rPr>
            <sz val="9"/>
            <rFont val="Tahoma"/>
            <family val="2"/>
          </rPr>
          <t xml:space="preserve">
01 centre social par département et un par commune d'abidjan.
RCI: 97 Départements du pays et 13 communes Ville d'abidjan. </t>
        </r>
      </text>
    </comment>
    <comment ref="H129" authorId="2">
      <text>
        <r>
          <rPr>
            <b/>
            <sz val="9"/>
            <rFont val="Tahoma"/>
            <family val="2"/>
          </rPr>
          <t>konan PC:</t>
        </r>
        <r>
          <rPr>
            <sz val="9"/>
            <rFont val="Tahoma"/>
            <family val="2"/>
          </rPr>
          <t xml:space="preserve">
2  campagnes par an et par régions</t>
        </r>
      </text>
    </comment>
    <comment ref="I45" authorId="3">
      <text>
        <r>
          <rPr>
            <b/>
            <sz val="9"/>
            <rFont val="Calibri"/>
            <family val="2"/>
          </rPr>
          <t>Patricia N'Goran:</t>
        </r>
        <r>
          <rPr>
            <sz val="9"/>
            <rFont val="Calibri"/>
            <family val="2"/>
          </rPr>
          <t xml:space="preserve">
300 FFE</t>
        </r>
      </text>
    </comment>
    <comment ref="G38" authorId="3">
      <text>
        <r>
          <rPr>
            <b/>
            <sz val="9"/>
            <rFont val="Calibri"/>
            <family val="2"/>
          </rPr>
          <t>Patricia N'Goran:</t>
        </r>
        <r>
          <rPr>
            <sz val="9"/>
            <rFont val="Calibri"/>
            <family val="2"/>
          </rPr>
          <t xml:space="preserve">
diagnostic communautaire equipement ( megaphone, moto, natte, muac…boite à image
</t>
        </r>
      </text>
    </comment>
    <comment ref="I38" authorId="3">
      <text>
        <r>
          <rPr>
            <b/>
            <sz val="9"/>
            <rFont val="Calibri"/>
            <family val="2"/>
          </rPr>
          <t>Patricia N'Goran:</t>
        </r>
        <r>
          <rPr>
            <sz val="9"/>
            <rFont val="Calibri"/>
            <family val="2"/>
          </rPr>
          <t xml:space="preserve">
300  pour FFAMILLE</t>
        </r>
      </text>
    </comment>
    <comment ref="H31" authorId="3">
      <text>
        <r>
          <rPr>
            <b/>
            <sz val="9"/>
            <rFont val="Calibri"/>
            <family val="2"/>
          </rPr>
          <t>Patricia N'Goran:</t>
        </r>
        <r>
          <rPr>
            <sz val="9"/>
            <rFont val="Calibri"/>
            <family val="2"/>
          </rPr>
          <t xml:space="preserve">
35 000 PAR MOIS OU RENDRE PLUS PERREN PAR UNE AGR POUR LE MONTANT DE 420 0000</t>
        </r>
      </text>
    </comment>
    <comment ref="F48" authorId="3">
      <text>
        <r>
          <rPr>
            <b/>
            <sz val="9"/>
            <rFont val="Calibri"/>
            <family val="2"/>
          </rPr>
          <t>Patricia N'Goran:</t>
        </r>
        <r>
          <rPr>
            <sz val="9"/>
            <rFont val="Calibri"/>
            <family val="2"/>
          </rPr>
          <t xml:space="preserve">
au lieu de 30%</t>
        </r>
      </text>
    </comment>
    <comment ref="G48" authorId="3">
      <text>
        <r>
          <rPr>
            <b/>
            <sz val="9"/>
            <rFont val="Calibri"/>
            <family val="2"/>
          </rPr>
          <t>Patricia N'Goran: supprimer</t>
        </r>
        <r>
          <rPr>
            <sz val="9"/>
            <rFont val="Calibri"/>
            <family val="2"/>
          </rPr>
          <t xml:space="preserve">
/orientation des mères d'enfants de 0-23 mois sur l'Alimentation du nourisson et du jeune enfant
Taux de changes USD- XOF: 500 f. Cout /enfant/an
Population 0-23 mois: 1 504 789 (projection INS 2014)
Accroissement de la population: 2,6%
Couverture :30% des mères des enfants de 0-23 mois beneficient des séances de sensibilisation en AEN+  réalisées par les Agents Communautaires.</t>
        </r>
      </text>
    </comment>
    <comment ref="H48" authorId="3">
      <text>
        <r>
          <rPr>
            <b/>
            <sz val="9"/>
            <rFont val="Calibri"/>
            <family val="2"/>
          </rPr>
          <t>Patricia N'Goran:</t>
        </r>
        <r>
          <rPr>
            <sz val="9"/>
            <rFont val="Calibri"/>
            <family val="2"/>
          </rPr>
          <t xml:space="preserve">
30 000 la seéance de 30 femme à raison de 1000 par femme PAR GROUPE PLUS AVANTAGE</t>
        </r>
      </text>
    </comment>
    <comment ref="I48" authorId="3">
      <text>
        <r>
          <rPr>
            <b/>
            <sz val="9"/>
            <rFont val="Calibri"/>
            <family val="2"/>
          </rPr>
          <t>Patricia N'Goran:</t>
        </r>
        <r>
          <rPr>
            <sz val="9"/>
            <rFont val="Calibri"/>
            <family val="2"/>
          </rPr>
          <t xml:space="preserve">
sur 111240 la moitie pour la santé
</t>
        </r>
      </text>
    </comment>
    <comment ref="H88" authorId="3">
      <text>
        <r>
          <rPr>
            <b/>
            <sz val="9"/>
            <rFont val="Calibri"/>
            <family val="2"/>
          </rPr>
          <t>Patricia N'Goran:</t>
        </r>
        <r>
          <rPr>
            <sz val="9"/>
            <rFont val="Calibri"/>
            <family val="2"/>
          </rPr>
          <t xml:space="preserve">
achat 1539768 pui suvi plus sites sentinelles
30 000 000</t>
        </r>
      </text>
    </comment>
    <comment ref="H89" authorId="3">
      <text>
        <r>
          <rPr>
            <b/>
            <sz val="9"/>
            <rFont val="Calibri"/>
            <family val="2"/>
          </rPr>
          <t>Patricia N'Goran:</t>
        </r>
        <r>
          <rPr>
            <sz val="9"/>
            <rFont val="Calibri"/>
            <family val="2"/>
          </rPr>
          <t xml:space="preserve">
achat 5944611  kit plus suvi 20000 EN COMPLEMENT SUIVI IOD</t>
        </r>
      </text>
    </comment>
    <comment ref="I144" authorId="3">
      <text>
        <r>
          <rPr>
            <b/>
            <sz val="9"/>
            <rFont val="Calibri"/>
            <family val="2"/>
          </rPr>
          <t>Patricia N'Goran:</t>
        </r>
        <r>
          <rPr>
            <sz val="9"/>
            <rFont val="Calibri"/>
            <family val="2"/>
          </rPr>
          <t xml:space="preserve">
 mam 7,5%</t>
        </r>
      </text>
    </comment>
    <comment ref="I143" authorId="3">
      <text>
        <r>
          <rPr>
            <b/>
            <sz val="9"/>
            <rFont val="Calibri"/>
            <family val="2"/>
          </rPr>
          <t>Patricia N'Goran:</t>
        </r>
        <r>
          <rPr>
            <sz val="9"/>
            <rFont val="Calibri"/>
            <family val="2"/>
          </rPr>
          <t xml:space="preserve">
 mam 7,5%</t>
        </r>
      </text>
    </comment>
    <comment ref="H184" authorId="3">
      <text>
        <r>
          <rPr>
            <b/>
            <sz val="9"/>
            <rFont val="Calibri"/>
            <family val="2"/>
          </rPr>
          <t>Patricia N'Goran:</t>
        </r>
        <r>
          <rPr>
            <sz val="9"/>
            <rFont val="Calibri"/>
            <family val="2"/>
          </rPr>
          <t xml:space="preserve">
PM ANADER</t>
        </r>
      </text>
    </comment>
    <comment ref="I111" authorId="2">
      <text>
        <r>
          <rPr>
            <b/>
            <sz val="9"/>
            <rFont val="Tahoma"/>
            <family val="2"/>
          </rPr>
          <t>konan PC:</t>
        </r>
        <r>
          <rPr>
            <sz val="9"/>
            <rFont val="Tahoma"/>
            <family val="2"/>
          </rPr>
          <t xml:space="preserve">
formation de deux par  d'ESPC</t>
        </r>
      </text>
    </comment>
    <comment ref="I107" authorId="2">
      <text>
        <r>
          <rPr>
            <b/>
            <sz val="9"/>
            <rFont val="Tahoma"/>
            <family val="2"/>
          </rPr>
          <t>konan PC:</t>
        </r>
        <r>
          <rPr>
            <sz val="9"/>
            <rFont val="Tahoma"/>
            <family val="2"/>
          </rPr>
          <t xml:space="preserve">
formation de deux par  d'ESPC</t>
        </r>
      </text>
    </comment>
    <comment ref="H115" authorId="2">
      <text>
        <r>
          <rPr>
            <b/>
            <sz val="9"/>
            <rFont val="Tahoma"/>
            <family val="2"/>
          </rPr>
          <t>konan PC:</t>
        </r>
        <r>
          <rPr>
            <sz val="9"/>
            <rFont val="Tahoma"/>
            <family val="2"/>
          </rPr>
          <t xml:space="preserve">
Cout moyen réhabilitation selon expérience terrain</t>
        </r>
      </text>
    </comment>
    <comment ref="I115" authorId="3">
      <text>
        <r>
          <rPr>
            <b/>
            <sz val="9"/>
            <rFont val="Calibri"/>
            <family val="2"/>
          </rPr>
          <t>Patricia N'Goran:</t>
        </r>
        <r>
          <rPr>
            <sz val="9"/>
            <rFont val="Calibri"/>
            <family val="2"/>
          </rPr>
          <t xml:space="preserve">
deux par centre social
=60*2/25</t>
        </r>
      </text>
    </comment>
    <comment ref="G122" authorId="3">
      <text>
        <r>
          <rPr>
            <b/>
            <sz val="9"/>
            <rFont val="Calibri"/>
            <family val="2"/>
          </rPr>
          <t>Patricia N'Goran:</t>
        </r>
        <r>
          <rPr>
            <sz val="9"/>
            <rFont val="Calibri"/>
            <family val="2"/>
          </rPr>
          <t xml:space="preserve">
a ete ajouté</t>
        </r>
      </text>
    </comment>
    <comment ref="H122" authorId="3">
      <text>
        <r>
          <rPr>
            <b/>
            <sz val="9"/>
            <rFont val="Calibri"/>
            <family val="2"/>
          </rPr>
          <t>Patricia N'Goran:</t>
        </r>
        <r>
          <rPr>
            <sz val="9"/>
            <rFont val="Calibri"/>
            <family val="2"/>
          </rPr>
          <t xml:space="preserve">
appui à la supervision mensuelle
</t>
        </r>
      </text>
    </comment>
    <comment ref="G121" authorId="3">
      <text>
        <r>
          <rPr>
            <b/>
            <sz val="9"/>
            <rFont val="Calibri"/>
            <family val="2"/>
          </rPr>
          <t>Patricia N'Goran:</t>
        </r>
        <r>
          <rPr>
            <sz val="9"/>
            <rFont val="Calibri"/>
            <family val="2"/>
          </rPr>
          <t xml:space="preserve">
a ete ajouté</t>
        </r>
      </text>
    </comment>
    <comment ref="H121" authorId="3">
      <text>
        <r>
          <rPr>
            <b/>
            <sz val="9"/>
            <rFont val="Calibri"/>
            <family val="2"/>
          </rPr>
          <t>Patricia N'Goran:</t>
        </r>
        <r>
          <rPr>
            <sz val="9"/>
            <rFont val="Calibri"/>
            <family val="2"/>
          </rPr>
          <t xml:space="preserve">
appui à la supervision mensuelle
</t>
        </r>
      </text>
    </comment>
    <comment ref="I133" authorId="3">
      <text>
        <r>
          <rPr>
            <b/>
            <sz val="9"/>
            <rFont val="Calibri"/>
            <family val="2"/>
          </rPr>
          <t>Patricia N'Goran:</t>
        </r>
        <r>
          <rPr>
            <sz val="9"/>
            <rFont val="Calibri"/>
            <family val="2"/>
          </rPr>
          <t xml:space="preserve">
60 plus pourcentage de renouvellement</t>
        </r>
      </text>
    </comment>
    <comment ref="I132" authorId="3">
      <text>
        <r>
          <rPr>
            <b/>
            <sz val="9"/>
            <rFont val="Calibri"/>
            <family val="2"/>
          </rPr>
          <t>Patricia N'Goran:</t>
        </r>
        <r>
          <rPr>
            <sz val="9"/>
            <rFont val="Calibri"/>
            <family val="2"/>
          </rPr>
          <t xml:space="preserve">
60 plus pourcentage de renouvellement</t>
        </r>
      </text>
    </comment>
    <comment ref="I139" authorId="3">
      <text>
        <r>
          <rPr>
            <b/>
            <sz val="9"/>
            <rFont val="Calibri"/>
            <family val="2"/>
          </rPr>
          <t>Patricia N'Goran:</t>
        </r>
        <r>
          <rPr>
            <sz val="9"/>
            <rFont val="Calibri"/>
            <family val="2"/>
          </rPr>
          <t xml:space="preserve">
 DOIVENT LE PRODUIRE EUX MMEE  PRODUIRE POUR LA PRMIERE ANN2E DE FORMATION</t>
        </r>
      </text>
    </comment>
    <comment ref="I138" authorId="3">
      <text>
        <r>
          <rPr>
            <b/>
            <sz val="9"/>
            <rFont val="Calibri"/>
            <family val="2"/>
          </rPr>
          <t>Patricia N'Goran:</t>
        </r>
        <r>
          <rPr>
            <sz val="9"/>
            <rFont val="Calibri"/>
            <family val="2"/>
          </rPr>
          <t xml:space="preserve">
 DOIVENT LE PRODUIRE EUX MMEE  PRODUIRE POUR LA PRMIERE ANN2E DE FORMATION</t>
        </r>
      </text>
    </comment>
    <comment ref="H136" authorId="3">
      <text>
        <r>
          <rPr>
            <b/>
            <sz val="9"/>
            <rFont val="Calibri"/>
            <family val="2"/>
          </rPr>
          <t>Patricia N'Goran:</t>
        </r>
        <r>
          <rPr>
            <sz val="9"/>
            <rFont val="Calibri"/>
            <family val="2"/>
          </rPr>
          <t xml:space="preserve">
rhéabilitationbatiment DIEM  plus contenaire</t>
        </r>
      </text>
    </comment>
    <comment ref="G152" authorId="3">
      <text>
        <r>
          <rPr>
            <b/>
            <sz val="9"/>
            <rFont val="Calibri"/>
            <family val="2"/>
          </rPr>
          <t>Patricia N'Goran:</t>
        </r>
        <r>
          <rPr>
            <sz val="9"/>
            <rFont val="Calibri"/>
            <family val="2"/>
          </rPr>
          <t xml:space="preserve">
malade hospitalisée, maladies metaboliques, viv, ulcére burili, palu et autres maladies infectieuse
</t>
        </r>
      </text>
    </comment>
    <comment ref="G159" authorId="3">
      <text>
        <r>
          <rPr>
            <b/>
            <sz val="9"/>
            <rFont val="Calibri"/>
            <family val="2"/>
          </rPr>
          <t>Patricia N'Goran:</t>
        </r>
        <r>
          <rPr>
            <sz val="9"/>
            <rFont val="Calibri"/>
            <family val="2"/>
          </rPr>
          <t xml:space="preserve">
420 000 OEV POUR 2016 PREVALEnCE 15% POUR LENSEMBLE soit 6300</t>
        </r>
      </text>
    </comment>
    <comment ref="I160" authorId="3">
      <text>
        <r>
          <rPr>
            <b/>
            <sz val="9"/>
            <rFont val="Calibri"/>
            <family val="2"/>
          </rPr>
          <t>Patricia N'Goran:</t>
        </r>
        <r>
          <rPr>
            <sz val="9"/>
            <rFont val="Calibri"/>
            <family val="2"/>
          </rPr>
          <t xml:space="preserve">
88 CS MEPS ET 30 MPFFPE</t>
        </r>
      </text>
    </comment>
    <comment ref="I157" authorId="3">
      <text>
        <r>
          <rPr>
            <b/>
            <sz val="9"/>
            <rFont val="Calibri"/>
            <family val="2"/>
          </rPr>
          <t>Patricia N'Goran:</t>
        </r>
        <r>
          <rPr>
            <sz val="9"/>
            <rFont val="Calibri"/>
            <family val="2"/>
          </rPr>
          <t xml:space="preserve">
plus 30% de renouvellement</t>
        </r>
      </text>
    </comment>
    <comment ref="J136" authorId="3">
      <text>
        <r>
          <rPr>
            <b/>
            <sz val="9"/>
            <rFont val="Calibri"/>
            <family val="2"/>
          </rPr>
          <t>Patricia N'Goran:</t>
        </r>
        <r>
          <rPr>
            <sz val="9"/>
            <rFont val="Calibri"/>
            <family val="2"/>
          </rPr>
          <t xml:space="preserve">
rhéabilitationbatiment DIEM  plus contenaire</t>
        </r>
      </text>
    </comment>
    <comment ref="K136" authorId="3">
      <text>
        <r>
          <rPr>
            <b/>
            <sz val="9"/>
            <rFont val="Calibri"/>
            <family val="2"/>
          </rPr>
          <t>Patricia N'Goran:</t>
        </r>
        <r>
          <rPr>
            <sz val="9"/>
            <rFont val="Calibri"/>
            <family val="2"/>
          </rPr>
          <t xml:space="preserve">
rhéabilitationbatiment DIEM  plus contenaire</t>
        </r>
      </text>
    </comment>
    <comment ref="L136" authorId="3">
      <text>
        <r>
          <rPr>
            <b/>
            <sz val="9"/>
            <rFont val="Calibri"/>
            <family val="2"/>
          </rPr>
          <t>Patricia N'Goran:</t>
        </r>
        <r>
          <rPr>
            <sz val="9"/>
            <rFont val="Calibri"/>
            <family val="2"/>
          </rPr>
          <t xml:space="preserve">
rhéabilitationbatiment DIEM  plus contenaire</t>
        </r>
      </text>
    </comment>
    <comment ref="M136" authorId="3">
      <text>
        <r>
          <rPr>
            <b/>
            <sz val="9"/>
            <rFont val="Calibri"/>
            <family val="2"/>
          </rPr>
          <t>Patricia N'Goran:</t>
        </r>
        <r>
          <rPr>
            <sz val="9"/>
            <rFont val="Calibri"/>
            <family val="2"/>
          </rPr>
          <t xml:space="preserve">
rhéabilitationbatiment DIEM  plus contenaire</t>
        </r>
      </text>
    </comment>
    <comment ref="N136" authorId="3">
      <text>
        <r>
          <rPr>
            <b/>
            <sz val="9"/>
            <rFont val="Calibri"/>
            <family val="2"/>
          </rPr>
          <t>Patricia N'Goran:</t>
        </r>
        <r>
          <rPr>
            <sz val="9"/>
            <rFont val="Calibri"/>
            <family val="2"/>
          </rPr>
          <t xml:space="preserve">
rhéabilitationbatiment DIEM  plus contenaire</t>
        </r>
      </text>
    </comment>
    <comment ref="K115" authorId="5">
      <text>
        <r>
          <rPr>
            <b/>
            <sz val="9"/>
            <rFont val="Calibri"/>
            <family val="2"/>
          </rPr>
          <t>Dr Niamien Guy Richard:</t>
        </r>
        <r>
          <rPr>
            <sz val="9"/>
            <rFont val="Calibri"/>
            <family val="2"/>
          </rPr>
          <t xml:space="preserve">
</t>
        </r>
      </text>
    </comment>
  </commentList>
</comments>
</file>

<file path=xl/sharedStrings.xml><?xml version="1.0" encoding="utf-8"?>
<sst xmlns="http://schemas.openxmlformats.org/spreadsheetml/2006/main" count="2148" uniqueCount="1171">
  <si>
    <t>Matrice des Résultats et des Ressources_ Plan National Multisectoriel de la Nutrition</t>
  </si>
  <si>
    <t>Effets attendus</t>
  </si>
  <si>
    <t>Extrants</t>
  </si>
  <si>
    <t>Interventions prioritaires</t>
  </si>
  <si>
    <t>Indicateurs</t>
  </si>
  <si>
    <t>Valeur initiale</t>
  </si>
  <si>
    <t>Valeur cible</t>
  </si>
  <si>
    <t>Activités</t>
  </si>
  <si>
    <t>Cout unitaire</t>
  </si>
  <si>
    <t>Service responsable</t>
  </si>
  <si>
    <t>Parties prenantes</t>
  </si>
  <si>
    <t>Hypothèses d'estimation</t>
  </si>
  <si>
    <t>Nombre de copies du plan de communication produits et vulgarisés</t>
  </si>
  <si>
    <t>Finaliser le  plan de communication intégré et multisectoriel sur les bonnes pratiques nutritionnelles</t>
  </si>
  <si>
    <t>MSLS</t>
  </si>
  <si>
    <t>Reproduire et diffuser le plan de communication intégré et multisectoriel sur les bonnes pratiques nutritionnelles</t>
  </si>
  <si>
    <t>ND</t>
  </si>
  <si>
    <t>Réaliser/actualiser des spots radio sur les bonnes pratiques de nutrition</t>
  </si>
  <si>
    <t>% de conventions passées avec des professionnels des médias</t>
  </si>
  <si>
    <t>Passer une convention de 1 an avec 20 professionnels des média ecrit (journalistes, éditeurs…) pour la promotion des bonnes pratiques nutritionnelles</t>
  </si>
  <si>
    <t>Nombre d'émissions audiovisuelles organisées</t>
  </si>
  <si>
    <t>Organiser des émissions télévisées sur les bonnes pratiques nutritionnelles</t>
  </si>
  <si>
    <t>MSFFE, MEMEASFP</t>
  </si>
  <si>
    <t>Nombre d'évènements organisés par an</t>
  </si>
  <si>
    <t>Portail internet de nutrition fonctionnel</t>
  </si>
  <si>
    <t>Créer un site web sur les actions/interventions de nutrition en Cote d'Ivoire</t>
  </si>
  <si>
    <t>Installer sur le site Web nutrition une platform dynamique de tracage des interventions et du financement de la nutrition en Cote d'Ivoire</t>
  </si>
  <si>
    <t>Nombre de support de formation continue conçus</t>
  </si>
  <si>
    <t>PM</t>
  </si>
  <si>
    <t>% d'agents communautaires formés à la promotion des AEN+</t>
  </si>
  <si>
    <t>% de localités a forte prévalence de malnutrition par région disposant de FFARN/OBC/GDSN (groupe de soutien pour la nutrition)</t>
  </si>
  <si>
    <t>% de Praticiens de la médecine traditionnelle formés à la promotion des AEN+</t>
  </si>
  <si>
    <t>% de leaders religieux formés à la promotion des AEN+</t>
  </si>
  <si>
    <t>% d'agents formés coachés</t>
  </si>
  <si>
    <t>% de personnes sensibilisées qui mettent en œuvre les bonnes pratiques nutritionnelles</t>
  </si>
  <si>
    <t>Assurer le suivi de la croissance des enfants de 0-23 mois</t>
  </si>
  <si>
    <t>% de structures sanitaires assurant la promotion des AEN+</t>
  </si>
  <si>
    <t>Relancer/Poursuivre l'initiative "hôpitaux amis des bébés" au niveau des hôpitaux de référence technique</t>
  </si>
  <si>
    <t>Reproduire et doter les structures sociales en outils de gestion pour la promotion des AEN</t>
  </si>
  <si>
    <t xml:space="preserve">% de districts dans les zones à forte prévalence de malnutrition chronique  mettant en œuvre l'initiative </t>
  </si>
  <si>
    <t>Etendre l'initiative pour une "croissance saine"</t>
  </si>
  <si>
    <t>% de modules révisés et mises à jour</t>
  </si>
  <si>
    <t>Réviser les modules nutrition dans les curricula scolaires</t>
  </si>
  <si>
    <t>% de femmes enceintes déparasitées</t>
  </si>
  <si>
    <t>Déparasiter les femmes enceintes</t>
  </si>
  <si>
    <t>% d'enfants de 12 à 59 mois déparasités</t>
  </si>
  <si>
    <t xml:space="preserve">Déparasiter les enfants de 12 à 59 mois </t>
  </si>
  <si>
    <t>% enfants de 5 à 12 ans déparasités</t>
  </si>
  <si>
    <t xml:space="preserve">Existence des nouvelles directives </t>
  </si>
  <si>
    <t>Actualiser la Directive sur la Supplémentation en Micronutriments</t>
  </si>
  <si>
    <t>% adolescentes supplémentées en fer et en acide folique</t>
  </si>
  <si>
    <t>Supplémenter en fer et en acide folique les adolescentes</t>
  </si>
  <si>
    <t>Supplémenter les femmes enceintes en fer et acide folique</t>
  </si>
  <si>
    <t>% de femmes enceintes supplémentées en Calcium</t>
  </si>
  <si>
    <t>Supplémenter les femmes enceintes en Calcium et en Magnésium</t>
  </si>
  <si>
    <t>% de femmes enceintes supplémentées en Magnésium</t>
  </si>
  <si>
    <t>% enfants de 6 à 59 mois correctement supplémentés (2doses/an) en vitamine A</t>
  </si>
  <si>
    <t>Supplementer en vitamine A les enfants de 0 à 59 mois  (2 doses/an)</t>
  </si>
  <si>
    <t>% enfants de 6 à 59 mois soufrant de diarrhée supplémentés en zinc</t>
  </si>
  <si>
    <t>Supplémenter les enfants de 6-59 mois souffrant de diarrhee en Zinc therapeutique</t>
  </si>
  <si>
    <t>Nombre de semaines d'intensification de la nutrition organisées</t>
  </si>
  <si>
    <t>Existence d'une stratégie pérenne  de supplémentation en vitamine A</t>
  </si>
  <si>
    <t>Existence d'une Stratégie d'enrichissement actualisée</t>
  </si>
  <si>
    <t>Actualiser le document  stratégique d'enrichissement des aliments en micronutriment (fortification industrielle et domestique)</t>
  </si>
  <si>
    <t>% de ménages qui consomment des aliments enrichis</t>
  </si>
  <si>
    <t>Assurer le controle de la teneur en iode dans les sels consommés par les ménages</t>
  </si>
  <si>
    <t>% de ménages ayant des enfants de 6 à 23 mois qui utilisent les poudres de micronutriments</t>
  </si>
  <si>
    <t>Elaborer un document  stratégique de biofortification des aliments.</t>
  </si>
  <si>
    <t>% de cantines offrant les 4 repas équilibrés par semaine</t>
  </si>
  <si>
    <t>Assurer l'accès des enfants aux cantines scolaires</t>
  </si>
  <si>
    <t>MENET</t>
  </si>
  <si>
    <t>MSFFE, MSLS, MEMEASFP</t>
  </si>
  <si>
    <t>% de cantines utilisant les poudres de micronutriments pour les repas scolaires</t>
  </si>
  <si>
    <t>Distribuer les poudres de micronutriments multiples pour la supplementation des repas des pensionnaires des cantines scolaires</t>
  </si>
  <si>
    <t>% de vendeurs des marchés scolaires qui ont leur capacités renforcées</t>
  </si>
  <si>
    <t>PNSAN</t>
  </si>
  <si>
    <t>TOTAL</t>
  </si>
  <si>
    <t xml:space="preserve">RESULTAT STRATEGIQUE 2: LA PRISE EN CHARGE DE LA MALNUTRITION EST RENFORCEE </t>
  </si>
  <si>
    <t>% de structures de santé disposant du protocole</t>
  </si>
  <si>
    <t xml:space="preserve">Reproduire et diffuser les exemplaires du protocole national de PEC de la MA </t>
  </si>
  <si>
    <t>% d'hôpitaux disposant d'UNT fonctionnels</t>
  </si>
  <si>
    <t>% de structures sociales disposant de UNS fonctionnelles</t>
  </si>
  <si>
    <t>% enfants de moins de cinq ans modérément malnutris et correctement pris en charge dans les structures sociales ou au niveau communautaire</t>
  </si>
  <si>
    <t>% d'enfants de moins de cinq ans bénéficiant du suivi et de la promotion de la croissance dans les structures sociales</t>
  </si>
  <si>
    <t>Assurer le suivi de la croissance des enfants de 0-59 mois dans les Structures Sociales</t>
  </si>
  <si>
    <t>Cout deja pris en compte dans "le coaching des agents des Structures Sociales"</t>
  </si>
  <si>
    <t>3 sessions de formation par an</t>
  </si>
  <si>
    <t xml:space="preserve">Evaluer une fois par an la qualité de la prise en charge de la Malnutrition aigue au niveau national </t>
  </si>
  <si>
    <t>Plan d'approvisionnement des intrants nutritionnels disponible</t>
  </si>
  <si>
    <t>1 910 structures de sante</t>
  </si>
  <si>
    <t>% formation sanitaires sans rupture de stock en ATPE pendant plus de trois mois</t>
  </si>
  <si>
    <t>% de strucures equipes</t>
  </si>
  <si>
    <t>% d'enfants de moins de cinq ans malnutris aiguë sévères dépistés et prise en charge dans les structures sanitaires</t>
  </si>
  <si>
    <t>Prendre en charge les enfants soufrant de MAS sans complication</t>
  </si>
  <si>
    <t>Prendre en charge les enfants soufrant de MAS avec complication</t>
  </si>
  <si>
    <t>Prendre en charge les enfants soufrant de MAM</t>
  </si>
  <si>
    <t>AR</t>
  </si>
  <si>
    <t>% de femmes en âge de procréer en surpoids dépistées dans les structures sanitaires</t>
  </si>
  <si>
    <t>Protocole de prise en charge de la malnutrition des groupes spécifiques disponible</t>
  </si>
  <si>
    <t>Reproduire et diffuser des exemplaires du guide d'alimentation de l'enfant né de mère séropositive et des PVVIH</t>
  </si>
  <si>
    <t>% de structures sanitaires disposant d'une structure de prise en charge de la malnutrition des groupes spécifiques</t>
  </si>
  <si>
    <t>Coacher les formateurs regionaux en nutrition et VIH</t>
  </si>
  <si>
    <t>%  de personnes des groupes spécifiques assistés</t>
  </si>
  <si>
    <t>% de personnes conseillées sur un régime alimentaire et une activités sportive adaptées aux groupes spécifiques</t>
  </si>
  <si>
    <t>% des établissements carcéraux proposant un menu équilibré</t>
  </si>
  <si>
    <t>MJDHLP</t>
  </si>
  <si>
    <t xml:space="preserve">% d'établissements carcéraux disposant de jardins potagers et de petits élevages </t>
  </si>
  <si>
    <t>Creer des  jardins potagers et de petits élevages dans les etablissements carceraux</t>
  </si>
  <si>
    <t>% de personnes en milieu carcéral dépistés et prises en charge</t>
  </si>
  <si>
    <t>Organiser des sessions de formation des agents de sante des CS carcéraL au depistage, à la prise en charge de la malnutrition et aux conseils</t>
  </si>
  <si>
    <t>Acquerir des  équipements anthropométriques pour les etablissements carceraux</t>
  </si>
  <si>
    <t>% formation sanitaires en milieu carcéral sans rupture de stock en ATPE pendant plus de trois mois</t>
  </si>
  <si>
    <t>% de ménages disposant d'un jardin potager</t>
  </si>
  <si>
    <t>MINAGRI, MIRAH</t>
  </si>
  <si>
    <t xml:space="preserve">% des ménages pratiquant l'agriculture urbaine et péri urbaine  </t>
  </si>
  <si>
    <t>MINAGRI</t>
  </si>
  <si>
    <t>Collectivites locales</t>
  </si>
  <si>
    <t>Taux d'adoption des cultures biofortifiées</t>
  </si>
  <si>
    <t xml:space="preserve">Mettre à disposition des semences de variétés améliorées et plus productives </t>
  </si>
  <si>
    <t>MIRAH</t>
  </si>
  <si>
    <t>% de ménages disposant d'un petit élevage</t>
  </si>
  <si>
    <t>% d'étangs piscicoles</t>
  </si>
  <si>
    <t>Quantité des produits de pêche en Tonne</t>
  </si>
  <si>
    <t>Quantité de lait produit au niveau local</t>
  </si>
  <si>
    <t>% d'acteurs  formés aux techniques de production améliorée</t>
  </si>
  <si>
    <t>% d'acteurs  équipés pour la pratique  de production améliorée</t>
  </si>
  <si>
    <t>% de ménages consommant régulièrement 2 des produits identifiés</t>
  </si>
  <si>
    <t>% d'encadreurs agricoles formés en nutrition</t>
  </si>
  <si>
    <t xml:space="preserve">% de sociétés coopératives ayant reçus des moyens logistiques pour le  transport adéquat des denrées alimentaires </t>
  </si>
  <si>
    <t>Organiser des sessions de formation des coopérateurs à  la  vie associative  et  à  la  gestion  coopérative</t>
  </si>
  <si>
    <t>Amenager les itinéraires  régionaux</t>
  </si>
  <si>
    <t>% d'aliments hautement consommés dont les prix ont été stabilisé</t>
  </si>
  <si>
    <t>Stabiliser les prix des aliments hautement consommés</t>
  </si>
  <si>
    <t>existence d'un système national fonctionnel d'information et de contrôle des prix et des stocks sur les marchés</t>
  </si>
  <si>
    <t>Renforcer le contrôle des prix des denrées alimentaires</t>
  </si>
  <si>
    <t xml:space="preserve">% de zones disposant de  centres de groupage </t>
  </si>
  <si>
    <t>% de producteurs formés</t>
  </si>
  <si>
    <t xml:space="preserve">Taux de perte post récolte </t>
  </si>
  <si>
    <t>Entre 30 a 50%</t>
  </si>
  <si>
    <t>Entre 10 et 25%</t>
  </si>
  <si>
    <t>% de perte post capture</t>
  </si>
  <si>
    <t xml:space="preserve">% de technologies de transformation des produits périssables </t>
  </si>
  <si>
    <t>% de producteurs qui pratiquent les bonnes techniques  de transformations</t>
  </si>
  <si>
    <t>Nombre d'aliments de complément pour enfants à base de produits locaux disponibles</t>
  </si>
  <si>
    <t>MESRS</t>
  </si>
  <si>
    <t>Nombre de technologies de transformation et de conservation</t>
  </si>
  <si>
    <t xml:space="preserve">Existence d'un comité fonctionnel </t>
  </si>
  <si>
    <t>Mettre en place un cadre de coordination entre les structures impliquées dans le controle opérationnel</t>
  </si>
  <si>
    <t>% de dispositifs régionaux mis en place</t>
  </si>
  <si>
    <t xml:space="preserve">Existence d'un système d'alerte précoce fonctionnel </t>
  </si>
  <si>
    <t xml:space="preserve">Nombre d'avis ou saisines </t>
  </si>
  <si>
    <t>AD</t>
  </si>
  <si>
    <t>% d'acteurs formés</t>
  </si>
  <si>
    <t>Organiser des sessions de formation sur la malnutrition a l'attention du comité national et des dispositifs régionaux</t>
  </si>
  <si>
    <t>% de dispositifs régionaux fonctionnels</t>
  </si>
  <si>
    <t>% de laboratoires de contrôle fonctionnels</t>
  </si>
  <si>
    <t xml:space="preserve">Nombre de structures crées </t>
  </si>
  <si>
    <t>% de structures menant des inspections et contrôle de qualité</t>
  </si>
  <si>
    <t>Nombre d'inspections par an</t>
  </si>
  <si>
    <t>%  de produits étiquetés</t>
  </si>
  <si>
    <t>% de produits labélisés</t>
  </si>
  <si>
    <t>Nombre de Normes alimentaires validées</t>
  </si>
  <si>
    <t>Nombre de Normes alimentaires appliquées</t>
  </si>
  <si>
    <t xml:space="preserve">Existence d'un système de traçabilité fonctionnel </t>
  </si>
  <si>
    <t xml:space="preserve">Renforcer le système de surveillance épidémiologique en y incluant les maladies d'origine alimentaire </t>
  </si>
  <si>
    <t xml:space="preserve">Une base de données multisectorielle disponible </t>
  </si>
  <si>
    <t>Mettre en place une base de données épidémiologiques centralisées au plan national sur les maladies d'origine alimentaire</t>
  </si>
  <si>
    <t>Nombre de laboratoires d'hôpitaux répondant aux normes</t>
  </si>
  <si>
    <t>Doter les laboratoires des hopitaux publiques en equiment et intrant de diagnostic des maladies d'origines d'alimentaire</t>
  </si>
  <si>
    <t>Existence de directives, guides et de protocoles</t>
  </si>
  <si>
    <t>Reproduire et diffuser le protocol de prise en charge des maladies d'origine alimentaire</t>
  </si>
  <si>
    <t>Nombre de structures de prise en charge renforcée</t>
  </si>
  <si>
    <t>Existence d'un cadre intégré d'intervention défini</t>
  </si>
  <si>
    <t>Nombre de sites appropriés de destruction créés/réhabilités</t>
  </si>
  <si>
    <t>Réhabiliter/Créer des sites appropriés de destruction des produits impropres à la consommation</t>
  </si>
  <si>
    <t>Un guide multisectoriel de bonnes pratiques élaboré</t>
  </si>
  <si>
    <t xml:space="preserve">Elaborer un guide multisectoriel de bonnes pratiques sur la sécurité sanitaire des aliments </t>
  </si>
  <si>
    <t xml:space="preserve">Reproduire et diffuser le guide multisectoriel de bonnes pratiques sur la sécurité sanitaire des aliments </t>
  </si>
  <si>
    <t xml:space="preserve">% d'agriculteurs formés a l'utilisation des produits phyto sanitaire </t>
  </si>
  <si>
    <t xml:space="preserve">% d'agriculteurs formés a la conservation et la transformation des produits agricoles </t>
  </si>
  <si>
    <t>Deja pris en compte a la section 3.2.1.1</t>
  </si>
  <si>
    <t>% d'éleveurs formés a l'utilisation des médicaments vétérinaires</t>
  </si>
  <si>
    <t xml:space="preserve">Organiser des sessions de formation a l'attention des eleveurs sur l'utilisation des médicaments vétérinaires </t>
  </si>
  <si>
    <t xml:space="preserve">% de pécheurs formés a une pèche responsable </t>
  </si>
  <si>
    <t xml:space="preserve">Organiser des sessions de formation a l'attention des pecheurs sur la pèche responsable </t>
  </si>
  <si>
    <t>% d'éleveurs contrôlés</t>
  </si>
  <si>
    <t>% de pêcheurs contrôlés</t>
  </si>
  <si>
    <t>% d'agriculteurs utilisant correctement les produits phyto sanitaires de  qualité</t>
  </si>
  <si>
    <t>% d'éleveurs/pêcheurs utilisant correctement les produits phyto sanitaires de  qualité</t>
  </si>
  <si>
    <t xml:space="preserve">% d'acteurs de distribution formés </t>
  </si>
  <si>
    <t>Organiser des sessions de formation a l'attention des acteurs de la distribution sur le transport optimal, le stockage et la conservation des denrées alimentaires</t>
  </si>
  <si>
    <t>% d'acteurs de distribution assurant le transport sécurisé des denrées alimentaires</t>
  </si>
  <si>
    <t>% d'acteurs de distribution pratiquant correctement le stockage et  la conservation des denrées alimentaires</t>
  </si>
  <si>
    <t>% d'associations de consommateurs formés</t>
  </si>
  <si>
    <t>Faire passer des spots audio et  télévisées sur (i) la conservation et l'utilisation des aliments, (ii) les mesures d'hygiène et la qualité nutritionnelle des aliments vendus sur les voies publiques</t>
  </si>
  <si>
    <t xml:space="preserve">% de marchés respectant les normes </t>
  </si>
  <si>
    <t xml:space="preserve">% de structures de restauration collective respectant les normes </t>
  </si>
  <si>
    <t>Nombre de campagne de sensibilisation</t>
  </si>
  <si>
    <t>Elaborer et diffuser des supports de sensibilisation et de messages clés en matière de sécurité sanitaire des aliments</t>
  </si>
  <si>
    <t xml:space="preserve">Nombre de sessions de formation organisées </t>
  </si>
  <si>
    <t>Organiser des sessions de formation a l'attention des acteurs du commerce informel sur les mesures d'hygiène et la qualité nutritionnelle des aliments vendus</t>
  </si>
  <si>
    <t xml:space="preserve">Nombre de campagnes de sensibilisation menées </t>
  </si>
  <si>
    <t>Faire passer des spots audio et  télévisées sur la conservation et l'utilisation des aliments</t>
  </si>
  <si>
    <t>Faire passer des spots audio et  télévisées sur les mesures d'hygiène et la qualité nutritionnelle des aliments vendus sur les voies publiques</t>
  </si>
  <si>
    <t>% de ménages bénéficiant du cash transfert</t>
  </si>
  <si>
    <t>% de femmes enceintes malnutries recevant des rations alimentaires</t>
  </si>
  <si>
    <t>Octroyer des rations alimentaires aux femmes enceintes malnutries</t>
  </si>
  <si>
    <t>MSLS, MEMEASFP</t>
  </si>
  <si>
    <t xml:space="preserve">%  de couples mère-enfant recevant des rations alimentaires en hospitalisation </t>
  </si>
  <si>
    <t xml:space="preserve">Octroyer des rations alimentaires aux mères accompagnant les enfants sous de MAS en hospitalisation </t>
  </si>
  <si>
    <t>% des ménages en insécurité alimentaire recevant un soutien  alimentaire</t>
  </si>
  <si>
    <t>%  de ménages bénéficiaires de programmes saisonniers argent contre travail</t>
  </si>
  <si>
    <t xml:space="preserve">Créer des emplois THIMO argent- contre-travail </t>
  </si>
  <si>
    <t>%  de ménages bénéficiaires de programmes saisonniers vivres contre travail/formation</t>
  </si>
  <si>
    <t>Continuer le soutien aux beneficiaires du programme " vivres contre travail "</t>
  </si>
  <si>
    <t>% de cantines scolaires fonctionnelles dans les zones d'insécurité alimentaire sévère</t>
  </si>
  <si>
    <t>Assurer dans les zones de grande insécurité alimentaire l'accès enfants aux cantines scolaires</t>
  </si>
  <si>
    <t>Sensibiliser les cadres et les mutuelles de developpement a la mise en place et a l'approvisionnement des cantines scolaires</t>
  </si>
  <si>
    <t>Former les acteurs des cantines scolaires</t>
  </si>
  <si>
    <t>Nombre de femmes bénéficiaires de soutien pour les AGR</t>
  </si>
  <si>
    <t xml:space="preserve">Assurer/soutenir la production de viviriers améliorée par les femmes </t>
  </si>
  <si>
    <t>MEMEASFP,  MINAGRI, MIRAH</t>
  </si>
  <si>
    <t xml:space="preserve">% de femmes analphabètes  bénéficiaires de l'alphabétisation </t>
  </si>
  <si>
    <t xml:space="preserve"> Promouvoir l'alphabétisation des femmes</t>
  </si>
  <si>
    <t>Dispositif de préparation et de contingence pour la nutrition est fonctionnel</t>
  </si>
  <si>
    <t>Equiper le dispositif de veille au niveau central et au niveau des 10 poles de developpement régionaux</t>
  </si>
  <si>
    <t>Former les acteurs aux niveau central et regional</t>
  </si>
  <si>
    <t>Assurer le fonctionnement du dispositif de veille (niveaux central et regional et système d'information village)</t>
  </si>
  <si>
    <t>Nombre d'enquêtes annuelles réalisées dans les zones à forte insécurité alimentaire</t>
  </si>
  <si>
    <t xml:space="preserve">Réaliser des enquetes annuelles sur les zones et les populations à risques; ainsi que les facteurs de vulnérabilité et de risques des ménages  </t>
  </si>
  <si>
    <t>MSLS, MIRAH, MINESUDD</t>
  </si>
  <si>
    <t>Etablir les bilans alimentaires prévisionnel et ex-post</t>
  </si>
  <si>
    <t>% de sites sentinels mis en place dans les zones de haute vulnérabilité</t>
  </si>
  <si>
    <t>Nombre de réserves de sécurité alimentaire en place dans les pôles de développement</t>
  </si>
  <si>
    <t>Former les acteurs de banques d'approvisionnement communautaires des cantines scolaires</t>
  </si>
  <si>
    <t>Dispositif de station météorologique fonctionnel</t>
  </si>
  <si>
    <t>Nombres de structures renforcées</t>
  </si>
  <si>
    <t>Nombre cultures ayant leur calendrier actualisé</t>
  </si>
  <si>
    <t>Organiser  des campagnes  de  sensibilisation  des producteurs  au  respect  du  calendrier  agro-pastoral</t>
  </si>
  <si>
    <t>Organes d’autorité de financement et de planification pour la gestion intégrée des ressources en eau, créé</t>
  </si>
  <si>
    <t xml:space="preserve">Nombre d’aménagements et équipements d’irrigation réhabilités et fonctionnels </t>
  </si>
  <si>
    <t>Réhabiliter des Barrages  afin daméliorer le système de production des ménages</t>
  </si>
  <si>
    <t>MEF</t>
  </si>
  <si>
    <t>PNSAN ,Forfait sur 5 ans</t>
  </si>
  <si>
    <t>Assurer le fonctionnement des comités de gestion</t>
  </si>
  <si>
    <t xml:space="preserve">% des ménages ayant accès au petit matériel d'irrigation </t>
  </si>
  <si>
    <t>Nombre de nouvelles installations d'hydraulique humaine réalisées</t>
  </si>
  <si>
    <t>MIE/ONEP</t>
  </si>
  <si>
    <t>Assurer l'accès de la population aux forages classiques à pompe manuelle</t>
  </si>
  <si>
    <t>% d'installations d'hydraulique humaine réhabilitées</t>
  </si>
  <si>
    <t>Réhabiliter les forages, les pompes hydrauliques et les puits</t>
  </si>
  <si>
    <t>Créer/ redynamiser des comités de gestion des hydrauliques</t>
  </si>
  <si>
    <t>% de centres déficitaires alimentés par camion-citerne ou poste d'eau</t>
  </si>
  <si>
    <t>Alimenter par camion-citerne les centres déficitaires</t>
  </si>
  <si>
    <t>% de regions beneficiant de la professionnalisation de la gestion des ouvrages hydraulique rurale</t>
  </si>
  <si>
    <t>Organiser des sessions de formation des artisants réparateurs sur l'utilisation des equipements</t>
  </si>
  <si>
    <t>Equiper les artisants réparateurs</t>
  </si>
  <si>
    <t>% de branchements subventionnés réalisés</t>
  </si>
  <si>
    <t xml:space="preserve">Subventionner les branchements  </t>
  </si>
  <si>
    <t>% des écoles en milieu rural disposant d'une source d'eau potable</t>
  </si>
  <si>
    <t>% des établissements scolaires disposant de latrines adéquates et en nombre suffisant</t>
  </si>
  <si>
    <t>% établissements scolaires disposant d'un lieu de lavage des mains avec savon</t>
  </si>
  <si>
    <t xml:space="preserve">Doter les établissements scolaires en dispositifs de lave-mains </t>
  </si>
  <si>
    <t>% de ménages qui traite l eau a domicile</t>
  </si>
  <si>
    <t>% mères se débarrassant des selles des enfants de manière hygiénique</t>
  </si>
  <si>
    <t xml:space="preserve">Mettre en œuvre de la demarche ATPC dans les villages </t>
  </si>
  <si>
    <t>% ménages disposant de site de lavage des mains, de savon et d'eau</t>
  </si>
  <si>
    <t>% de ménages pratiquant correctement la technique du lavage des mains</t>
  </si>
  <si>
    <t xml:space="preserve">% des ménages ayant accès aux latrines </t>
  </si>
  <si>
    <t>% des ménages qui gèrent de manière adéquate les eaux usées et ordures.</t>
  </si>
  <si>
    <t>Nombre de Rencontres trimestrielles du Comité Décisionnel tenues</t>
  </si>
  <si>
    <t>Organisation de réunion trimestrielle du Comité Décisionnel</t>
  </si>
  <si>
    <t>Nombre de Rencontres bimestrielles du Comité Technique</t>
  </si>
  <si>
    <t>Organisation de réunion bimestrielle Comité Technique</t>
  </si>
  <si>
    <t>Cadres de Ministères pleinement détachés aux Secrétariat Technique Permanent</t>
  </si>
  <si>
    <t>Ressources humaines (Assistante de direction, Communicateur niveau cadre, Suivi évaluateur niveau cadre, Ingénieur Informaticien, Coursier, Chauffeur)</t>
  </si>
  <si>
    <t>Matériel et logistique (local  aménagé et équipé, matériel roulant)</t>
  </si>
  <si>
    <t>Doter le Secrétariat Technique Permanent en matériel et logistique (local  aménagé et équipé, matériel roulant)</t>
  </si>
  <si>
    <t>Organisation du travail du STP (cahier de charges, procédures …)</t>
  </si>
  <si>
    <t xml:space="preserve">Budget de fonctionnement </t>
  </si>
  <si>
    <t>Assurer le fonctionnement du STP</t>
  </si>
  <si>
    <t>Arrêté de création des Comités Régionaux (CRN),  Départementaux (CDN), Communaux (CCN) de Nutrition</t>
  </si>
  <si>
    <t>Prendre un arrêté portant création des Comités Régionaux (CRN),  Départementaux (CDN), Communaux (CCN) de Nutrition</t>
  </si>
  <si>
    <t>% CRN ayant au moins une réunion trimestrielle de coordination</t>
  </si>
  <si>
    <t>% CDN ayant au moins une réunion bimestrielle de coordination</t>
  </si>
  <si>
    <t>% CCN ayant au moins une réunion mensuelle de coordination</t>
  </si>
  <si>
    <t>Existence d'un plan d'action multisectoriel à chaque niveau (Central, Régional, Départemental, Communal/ Sous-Préfecture)</t>
  </si>
  <si>
    <t>Soutenir l'élaboration de micros plan d'amélioration de la situation nutritionnelle à chaque niveau (Central, Régional, Départemental, Communal/ Sous-Préfecture)</t>
  </si>
  <si>
    <t>Cout du consultant + Atelier de validation</t>
  </si>
  <si>
    <t>Existence d'une Stratégie de mise en œuvre du PSMN</t>
  </si>
  <si>
    <t>Plan de formation annuel</t>
  </si>
  <si>
    <t>Plan de suivi/évaluation annuel</t>
  </si>
  <si>
    <t>Modules de formation</t>
  </si>
  <si>
    <t>Supports de plaidoyer</t>
  </si>
  <si>
    <t>Directives de mise en œuvre du plan stratégique multisectoriel par niveau</t>
  </si>
  <si>
    <t>% de membres ayant reçu au moins une formation</t>
  </si>
  <si>
    <t>Organiser une session de formation a l'attention du Point Focal, des membres du Comité Technique et du Secrétariat Technique Permanent</t>
  </si>
  <si>
    <t>Organiser une session de formation a l'attention des membres des comités déconcentrés (régionaux, départementaux, communaux/sous-préfectoraux)</t>
  </si>
  <si>
    <t>Elaborer la cartographie des interventions de nutrition</t>
  </si>
  <si>
    <t>Document du coût de la nutrition/faim</t>
  </si>
  <si>
    <t>Realiser le costing de la nutrition/ faim</t>
  </si>
  <si>
    <t xml:space="preserve">Reproduire et Diffuser  la politique et le plan stratégique de l'allaitement </t>
  </si>
  <si>
    <t>% des planificateurs formés</t>
  </si>
  <si>
    <t>Former les planificateurs des entités sectorielles et des collectivités décentralisées à l'intégration des objectifs de  nutrition aux plans, programmes, et stratégies au niveau national, sectoriel, régional, et local</t>
  </si>
  <si>
    <t>CNN</t>
  </si>
  <si>
    <t>Droit à l'alimentation et à la nutrition inscrit dans la constitution</t>
  </si>
  <si>
    <t>Inscrire le droit à l'alimentation et à la nutrition dans la constitution</t>
  </si>
  <si>
    <t>Nombre de communication soumis</t>
  </si>
  <si>
    <t>Soumettre au Conseil des Ministres des communications trimestrielles sur l'état de la nutrition</t>
  </si>
  <si>
    <t>% des députés sensibilisés à l'importance de la sécurité alimentaire des ménages</t>
  </si>
  <si>
    <t xml:space="preserve">% des députés sensibilisés à l'importance du droit a l'alimentation </t>
  </si>
  <si>
    <t>Promouvoir le droit à l'alimentation et à la nutrition auprès des décideurs politiques</t>
  </si>
  <si>
    <t xml:space="preserve">% des maires sensibilisés à l'importance du droit a l'alimentation </t>
  </si>
  <si>
    <t>Commission des affaires sociales de l'Assemblée nationale sensibilisée sur l'allaitement maternel</t>
  </si>
  <si>
    <t>MCAPP, MEMEASFP</t>
  </si>
  <si>
    <t>Code du travail modifié</t>
  </si>
  <si>
    <t>% des Organisations professionnelles et le Patronat sensibilisés à l'importance de l'allaitement maternel dans le milieu de travail</t>
  </si>
  <si>
    <t>Réaliser un plaidoyer auprès des chefs d'entreprises pour la création d'un environnement propice à l'allaitement maternel dans le milieu du travail</t>
  </si>
  <si>
    <t>Arrêté d'application du Décret… réglementant la commercialisation des SLM</t>
  </si>
  <si>
    <t>Prendre un arrêté d'application du Décret… réglementant la commercialisation des SLM</t>
  </si>
  <si>
    <t>Table ronde de mobilisation des ressources organisée</t>
  </si>
  <si>
    <t>Nombre de présentation sur le Plan Stratégique au niveau des PTF</t>
  </si>
  <si>
    <t>Nombre de rencontres de suivi de la mobilisation des ressources</t>
  </si>
  <si>
    <t>Organiser des rencontres de suivi de la mobilisation des ressources</t>
  </si>
  <si>
    <t>Nombre de projets approuvés</t>
  </si>
  <si>
    <t>Nombre de curricula de formation initiale intégrant des modules de nutrition</t>
  </si>
  <si>
    <t>Nombre de curricula de formation initiale des professionnels de la nutrition renforcés</t>
  </si>
  <si>
    <t>Reviser les curricula de formation initiale des professionnels de la nutrition</t>
  </si>
  <si>
    <t xml:space="preserve">Texte réglementaire autorisant le recrutement des nutritionnistes </t>
  </si>
  <si>
    <t xml:space="preserve">Ouvrir le recrutement à la Fonction Publique des nutritionnistes </t>
  </si>
  <si>
    <t>Nombre de nutritionnistes recrutés</t>
  </si>
  <si>
    <t>Nombre de laboratoires de recherche en nutrition capacités</t>
  </si>
  <si>
    <t>Renforcer les capacités des laboratoires de recherche en nutrition</t>
  </si>
  <si>
    <t>MSLS, MINAGRI, MIRAH</t>
  </si>
  <si>
    <t>Au moins deux personnes formées par secteur en recherche opérationnelle</t>
  </si>
  <si>
    <t>Octroyer des bourses de formation court terme  en recherche opérationnelle aux cadres des secteurs et institutions impliqués dans la mise en œuvre du Plan Stratégique Multisectoriel de Nutrition</t>
  </si>
  <si>
    <t>Au moins deux acteurs clefs bénéficiant d'un renforcement de capacités</t>
  </si>
  <si>
    <t>Octroyer des bourses de formation court terme  en recherche fondamentale aux cadres des secteurs et institutions impliqués dans la mise en œuvre du Plan Stratégique Multisectoriel de Nutrition</t>
  </si>
  <si>
    <t>Nombre de partenariats établis avec des instituts régionaux ou internationaux</t>
  </si>
  <si>
    <t>Comité mis en place</t>
  </si>
  <si>
    <t>Nombre de sujets de recherche traités</t>
  </si>
  <si>
    <t>Base de données commune centralisée disponible</t>
  </si>
  <si>
    <t xml:space="preserve">Mettre en place au niveau du secrétariat technique un système centralisée d'archivage electronique des documents et rapports d'etudes </t>
  </si>
  <si>
    <t>Nombre d'enquêtes spécifiques réalisées</t>
  </si>
  <si>
    <t>Faire l'analyse situationnelle de la nutrition dans les structures sanitaires pour l'ANJE/VIH</t>
  </si>
  <si>
    <t>Réaliser des enquêtes SMART</t>
  </si>
  <si>
    <t>Réaliser d'autres  enquêtes ponctuelles d'information sur la nutrition (agricole, micronutriments, EASA…)</t>
  </si>
  <si>
    <t>Nombre de regions ayant au moins une revue par an</t>
  </si>
  <si>
    <t>Organiser des revues semestrielles au niveau régional des activites de nutrition</t>
  </si>
  <si>
    <t>Nombre de revues realises</t>
  </si>
  <si>
    <t>Nombre de revues annuelles réalisées</t>
  </si>
  <si>
    <t>Organiser des revues annuelles au niveau central des activites de nutrition</t>
  </si>
  <si>
    <t>Nombre de missions conjointes de suivi effectuées</t>
  </si>
  <si>
    <t>Organiser une supervision integree des activites de nutrition</t>
  </si>
  <si>
    <t>Ref.Mission suivi des activites de nutrition</t>
  </si>
  <si>
    <t>Nombre d'exercices des Comptes de la Nutrition effectué</t>
  </si>
  <si>
    <t>Réaliser un tracage multisectoriel du financement de la nutrition</t>
  </si>
  <si>
    <t>Rapport d'évaluation du Plan Stratégique national de Nutrition</t>
  </si>
  <si>
    <t>Réaliser la revue de la mise en ouevre du Plan National Multi sectoriel de nutrition ( mi-parcours et en fin d'exécution)</t>
  </si>
  <si>
    <t>taux d'exécution du Plan Stratégique multisectoriel de Nutrition</t>
  </si>
  <si>
    <t>Au moins deux personnes formées par secteur en suivi évaluation des interventions de nutrition</t>
  </si>
  <si>
    <t>Octroyer des bourses de formation court terme en Suivi-Evaluation aux cadres des secteurs et institutions impliqués dans la mise en œuvre du Plan Stratégique Multisectoriel de Nutrition</t>
  </si>
  <si>
    <t>Existence d'un système de collecte utilisant les TIC</t>
  </si>
  <si>
    <t>Utiliser les TIC dans les activités de collecte de l'information et de sensibilisation sur la nutrition</t>
  </si>
  <si>
    <t>Nombre de rapports produits</t>
  </si>
  <si>
    <t>Nombre de message diffusés à travers les TIC</t>
  </si>
  <si>
    <t>Le cadre réglementaire en matière de sécurité sanitaire des aliments est révisé</t>
  </si>
  <si>
    <t>Elaborer un nouveau cadre réglementaire en matière de sécurité sanitaire des aliments</t>
  </si>
  <si>
    <t>Diffuser le un nouveau cadre réglementaire en matière de sécurité sanitaire des aliments</t>
  </si>
  <si>
    <t>% des normes nationales  sur les produits alimentaires harmonisees</t>
  </si>
  <si>
    <t>MCAPP</t>
  </si>
  <si>
    <t>MSLS, MINAGRI, MIRAH, MIM</t>
  </si>
  <si>
    <t xml:space="preserve">Existence d'une législation renforcée sur les aliments enrichis </t>
  </si>
  <si>
    <t>Taux d'application des réglementations/normes nationales sur l'enrichissement des aliments</t>
  </si>
  <si>
    <t>Existence d'un Fonds national de nutrition</t>
  </si>
  <si>
    <t>Créer un Fonds national de nutrition alimenté par les prélèvements sur les produits alimentaires importés ayant un effet néfaste sur la nutrition (sucre, sel, conservateurs…)</t>
  </si>
  <si>
    <t xml:space="preserve">Les réglementations/normes nationales sur la fortification des aliments sont élaborées </t>
  </si>
  <si>
    <t>Elaborer des normes nationales sur le développement des cultures bio fortifiées</t>
  </si>
  <si>
    <t>MIM</t>
  </si>
  <si>
    <t>Revue réalisée</t>
  </si>
  <si>
    <t xml:space="preserve">Realiser une revue de la réglementation sur la commercialisation des aliments vendus sur les voies publiques </t>
  </si>
  <si>
    <t>MSLS, MSFFE, MENET</t>
  </si>
  <si>
    <t>Textes réglementaires pris</t>
  </si>
  <si>
    <t>Elaborer des normes nationales sur  le commerce informel des aliments vendus sur les voies publiques pour améliorer leur qualité hygiénique et nutritionnelle</t>
  </si>
  <si>
    <t>Diffuser les normes nationales sur  le commerce informel des aliments vendus sur les voies publiques pour améliorer leur qualité hygiénique et nutritionnelle</t>
  </si>
  <si>
    <t>MATRICE DE RESULATS ET BUDGET DU PNMSN 2016-2020</t>
  </si>
  <si>
    <t>#</t>
  </si>
  <si>
    <t>RESULTAT STRATEGIQUES</t>
  </si>
  <si>
    <t>%</t>
  </si>
  <si>
    <t>Bonnes pratiques nutritionnelles</t>
  </si>
  <si>
    <t xml:space="preserve">Prise en charge de la malnutrition </t>
  </si>
  <si>
    <t xml:space="preserve">Disponibilité et l’accès à des aliments nutritifs et diversifiés </t>
  </si>
  <si>
    <t>Sécurité sanitaire des aliments est renforcée</t>
  </si>
  <si>
    <t>Résilience aux crises alimentaires et nutritionnelles</t>
  </si>
  <si>
    <t xml:space="preserve">Gouvernance </t>
  </si>
  <si>
    <t>Cout total USD</t>
  </si>
  <si>
    <t>Cout total CFA</t>
  </si>
  <si>
    <t>COUT TOTAL USD</t>
  </si>
  <si>
    <t>COUT ANNUEL USD</t>
  </si>
  <si>
    <t>RESULTAT STRATEGIQUE 1: LES BONNES PRATIQUES NUTRITIONNELLES ET LES MESURES PREVENTIVES SONT PROMUES ( Mener sur toute l'etendue de la Côte d'Ivoire )</t>
  </si>
  <si>
    <t>Concevoir des modules de formation continue AEN+  à l'attention des agents communautaires,travailleurs sociaux, maitresses d'éducation permanente, religieux, tradi-thérapeutes,  agents de développement rural * Revision des modules</t>
  </si>
  <si>
    <t>% de centres de santé disposant d'une source d'eau potable</t>
  </si>
  <si>
    <t>Construire des blocs sanitaires (8 cabines VIP ) scolaires</t>
  </si>
  <si>
    <t>Faire passer des spots audio sur l'hygiene et la potabilisation de l'eau au niveau familial</t>
  </si>
  <si>
    <t>MENET, MSFFE,MSLS</t>
  </si>
  <si>
    <t>% de centres de santé disposant de latrines adéquates et en nombre suffisant</t>
  </si>
  <si>
    <t>% de centres de santé disposant d'un lieu de lavage des mains avec savon</t>
  </si>
  <si>
    <t>Organiser des seances de sensibilisation des communautés  sur le traitement de l'éau à domicile</t>
  </si>
  <si>
    <t>Doter les menages en equipement et intrant pour la realisation de jardin potager</t>
  </si>
  <si>
    <t>Soutenir la création des centres de groupage</t>
  </si>
  <si>
    <t>Construire des infrastructures  modernes  de conservation  des  productions  alimentaires (chambres  froides,  magasins  de  stockage,  fours  de échage  de  poissons  et  de  produits  divers)</t>
  </si>
  <si>
    <t>Promouvoir l'installation d'unités  moyennes de production d'aliments de complement</t>
  </si>
  <si>
    <t>Renforcer les capacités des producteurs pour la production de semences certifiées</t>
  </si>
  <si>
    <t>Sensibiliser les populations et les commerces à l'affichage des prix</t>
  </si>
  <si>
    <t xml:space="preserve">Sensibiliser les opérateurs économiques et consommateurs  à la demarche qualité </t>
  </si>
  <si>
    <t xml:space="preserve">Former les opérateurs économiques sur les processus de normalisation </t>
  </si>
  <si>
    <t>Organiser des sessions de formation a l'attention des Agriculteurs sur l'utilisation des produits phyto sanitaire (OPA)</t>
  </si>
  <si>
    <t>Cible 2016-2020</t>
  </si>
  <si>
    <t>Développer les groupements agricoles pour un approvisionnement alimentaire diversifié des cantines scolaires</t>
  </si>
  <si>
    <t>Former les acteurs  (producteurs, commerçants, transporteurs,  transformateurs)   aux bonnes  pratiques  agricoles,  d’élevage  et  de pêche</t>
  </si>
  <si>
    <t>MIRAH, MINAGRI, MESRS, MSLS, MC,</t>
  </si>
  <si>
    <t>MIN COMMERCE</t>
  </si>
  <si>
    <t xml:space="preserve">Procéder à des Tranferts monetaires et mesures d'accompagnements </t>
  </si>
  <si>
    <t>Organiser la journée nationale de Nutrition</t>
  </si>
  <si>
    <t xml:space="preserve">% de  radios de proximité ayant passées des conventions </t>
  </si>
  <si>
    <t xml:space="preserve">Octroyer des noyaux d'élevage de porcs </t>
  </si>
  <si>
    <t>Octroyer des noyaux d'élevage d'ovins</t>
  </si>
  <si>
    <t>Octroyer des noyaux d'élevage de caprins</t>
  </si>
  <si>
    <t>Octroyer des noyaux d'élevage en developpement (lapins, escargot,,,,)</t>
  </si>
  <si>
    <t>Former les bénéficiares à la conduite de l'élevage</t>
  </si>
  <si>
    <t>2 500 noyaux pour 2 500 ménages par an sur 4 ans soit 10 000 noyaux Par noyau le coût unitaire prend en compte la construction du poulailler évaluée 350 000F, la charge alimentaire et vétérinaire 535 000F, équipements 50 000F, les sujets 65 000F</t>
  </si>
  <si>
    <t>125 noyaux 125 ménages par an sur 4 ans soit 500 noyaux Par noyau le coût unitaire prend en compte achat animaux 300 000F, le bâtiment de 4 loges 1 000 000F et aliments et médicaments 750 000F</t>
  </si>
  <si>
    <t xml:space="preserve">250 noyaux 250 ménages par an sur 4 ans soit 1 000 noyaux Par noyau le coût unitaire prend en compte achat animaux 350 000F, la bergerie 200 000F, aliments et produits vétérinaires 150 000F </t>
  </si>
  <si>
    <t xml:space="preserve">75 noyaux 75 ménages par an sur 4 ans soit 300 noyaux Par noyau le coût unitaire prend en compte achat animaux 200 000F, la bergerie 200 000F, aliments et produits vétérinaires 150 000F </t>
  </si>
  <si>
    <t xml:space="preserve">2 000 noyaux d'élevage pour 2 000 ménages par an sur 5 ans soit 10 000 noyaux </t>
  </si>
  <si>
    <t>21 800 bénéfiaires formés sur les 5 ans</t>
  </si>
  <si>
    <t>Créér des étangs de barrage pour les communautés</t>
  </si>
  <si>
    <t xml:space="preserve">Faciliter l'accès des communautés à des alevins performants </t>
  </si>
  <si>
    <t>mettre en place un comité de gestion</t>
  </si>
  <si>
    <t>Former les communautés à la gestion des étangs barrages</t>
  </si>
  <si>
    <t>Empoissonner les plans d'eau</t>
  </si>
  <si>
    <t xml:space="preserve">Former les pêcheurs artisans </t>
  </si>
  <si>
    <t>Equiper les pêcheurs artisans en matériel de pêche (filets, pirogues,,,,)</t>
  </si>
  <si>
    <t>Renforcer la co-gestion des plans d'eau et des pêcheries</t>
  </si>
  <si>
    <t>Equiper les menages en matériel de production de lait</t>
  </si>
  <si>
    <t>Réhabiliter/construire des étables laitières communautaires</t>
  </si>
  <si>
    <t xml:space="preserve">1 étang barrage par communauté par soit 40 étangs barrages  sur les 4 ans à raison de  étang de barrage </t>
  </si>
  <si>
    <t xml:space="preserve">Etangs de reproduction (3 étangs de 2 ares) Etangs de prégrossissement (5 étangs de 4 ares) pour les 4 fermes pilotes d'alevinage dont 2 par an  </t>
  </si>
  <si>
    <t>créer 2 unités de productions d'aliments (susciter des PPP)</t>
  </si>
  <si>
    <t>40 comités à mettre en place en raison de 1 000 000F par comité</t>
  </si>
  <si>
    <t>10 personnes par communautés soit 400 personnes sur les 5 ans bénéfiaires formés sur les 5 ans</t>
  </si>
  <si>
    <t>100 barrages recevront des alevins soit 18 000 alevins par barrage</t>
  </si>
  <si>
    <t>1 pêcheur par plan d'eau empoissonné soit 100 bénéficiaires</t>
  </si>
  <si>
    <t>embarcation 70000F, filet maillant 30000F</t>
  </si>
  <si>
    <t>02 processus de co-gestion (ateliers, formation)</t>
  </si>
  <si>
    <t>50 noyaux à 50 ménages par an sur 5 ans soit 250 noyaux</t>
  </si>
  <si>
    <t>50 noyaux 50 ménages par an sur 5 ans soit 250 noyaux</t>
  </si>
  <si>
    <t>Une étable pour 05 noyaux</t>
  </si>
  <si>
    <t>Une étude à réaliser</t>
  </si>
  <si>
    <t>deux missions par an</t>
  </si>
  <si>
    <t>Installer des centres  régionaux  de  vente  et  de maintenance  de  matériel  agricoles  et  de pièces  de  rechange  construits</t>
  </si>
  <si>
    <t>Octroyer des BCA aux producteurs (animaux  destinés  à  la  culture attelée)</t>
  </si>
  <si>
    <t>Former et installer des de  fabricants  de  matériel  d’attelage</t>
  </si>
  <si>
    <t xml:space="preserve">Mettre en place un fonds d'appui à l'équipement des éleveurs, des pêcheurs et des aquaculteurs </t>
  </si>
  <si>
    <t>Mettre en place des magasins  de  proximité  destinés  à la  vente  d’intrants  agricoles </t>
  </si>
  <si>
    <t xml:space="preserve">Mettre au point des formules alimentaires à moindre coût à base de produits locaux pour les éleveurs </t>
  </si>
  <si>
    <t>Diffuser auprès des éleveurs les formules alimentaires disponibles à moindre coût à base de produits locaux pour les éleveurs et aquaculteurs</t>
  </si>
  <si>
    <t>Créer des coopératives  de  vivriers </t>
  </si>
  <si>
    <t>Créer des  associations  pastorales  </t>
  </si>
  <si>
    <t>Sensibiliser les  OP  sur  les procédures  de  détaxation  du  matériel  agricole</t>
  </si>
  <si>
    <t>Organiser des réunions trimestrielles de coordination par les Comités Régionaux pour la Nutrition (CRN)</t>
  </si>
  <si>
    <t>Organiser des réunions bimestrielles de coordination par les Comités Départemantaux Multisectoriels pour la Nutrition (CDN)</t>
  </si>
  <si>
    <t>Organiser des reunions  mensuelles des Comités Communaux  pour la Nutrition (CCN)</t>
  </si>
  <si>
    <t xml:space="preserve">Organiser des ateliers </t>
  </si>
  <si>
    <t>Oganiser des formations</t>
  </si>
  <si>
    <t>Elaborer des supports de plaidoyer</t>
  </si>
  <si>
    <t>Organiser des ateliers d'elaboration des directives</t>
  </si>
  <si>
    <t>cartographie de nutrition</t>
  </si>
  <si>
    <t>Actualiser le profile</t>
  </si>
  <si>
    <t>Reproduire et diffuser le profile pays de nutrition</t>
  </si>
  <si>
    <t>Organiser un atelier de presentation du profile</t>
  </si>
  <si>
    <t>Elaborer et integrer des modules de nutrition dans les curricula de formation initiale des agents de santé, des enseignants, des travailleurs sociaux, et des encadreurs agricoles</t>
  </si>
  <si>
    <t>Participer aux reunions regionales et internationales sur la nutrition</t>
  </si>
  <si>
    <t>Conduire/réaliser des recherches fondamentale en nutrition</t>
  </si>
  <si>
    <t>% de produits transformés</t>
  </si>
  <si>
    <t>Mettre en place un fonds d'appui à la petite transformation</t>
  </si>
  <si>
    <t>Appuyer la réhabilitation et la création d'abattoirs aux normes</t>
  </si>
  <si>
    <t xml:space="preserve">Appuyer la construction de magasins de conservation  des  productions  alimentaires </t>
  </si>
  <si>
    <t>Appuyer l'installation de chambres froides  </t>
  </si>
  <si>
    <t>Mettre en place des réseaux de stations météorologiques</t>
  </si>
  <si>
    <t>Construire des blocs sanitaires (8 cabines VIP ) dans les centres de santé</t>
  </si>
  <si>
    <t>MCLAU</t>
  </si>
  <si>
    <t xml:space="preserve">Organiser des sessions de sensibilisation/orientation de la population/ des ménages sur l'Alimentation enrichie </t>
  </si>
  <si>
    <t>Assurer le controle de la teneur en vit A, en fer et acide folique la farine de blé panifiable</t>
  </si>
  <si>
    <t>Organiser la formation sur site du personnel des établissements carcéraux ( restaurateurs, administrateurs penitenciers) aux bonnes pratiques nutritionnels et a la confection de menus adaptes</t>
  </si>
  <si>
    <t>Organiser des session de Formation les agents de santé des etablissements carceraux  à la gestion des stock d' ATPE</t>
  </si>
  <si>
    <t>Développer l'agriculture vivrière urbaine et péri-urbaine des ménages</t>
  </si>
  <si>
    <t>Faciliter l'accès des communautés à des aliments destinés aux poissons de qualité</t>
  </si>
  <si>
    <t xml:space="preserve">Octroyer un noyau de  vaches laitières par communauté vulnérable </t>
  </si>
  <si>
    <t>Renforcer les capacités des structures pour la prise en charge des populations rendues vulnérables en cas d'épizootie</t>
  </si>
  <si>
    <t>Mettre en place un dispositif de gestion intégrée de l'eau</t>
  </si>
  <si>
    <t>Faciliter l’accès au petit matériel d’irrigation</t>
  </si>
  <si>
    <t>Distribuer des bourses alimentaires a  50,000 enfants vulnerables</t>
  </si>
  <si>
    <t>MINAGRI/MSFFE</t>
  </si>
  <si>
    <t xml:space="preserve">mettre en place  les sites sentinelles </t>
  </si>
  <si>
    <t xml:space="preserve"> MINAGRI, MINESUDD</t>
  </si>
  <si>
    <t>MINAGRI/MIRAH</t>
  </si>
  <si>
    <t>MENET/MINAGRI</t>
  </si>
  <si>
    <t>MINAGRI, MIRAH, MINESUDD</t>
  </si>
  <si>
    <t xml:space="preserve"> MIRAH, MINESUDD</t>
  </si>
  <si>
    <t>MSFFE,MEMEASFP</t>
  </si>
  <si>
    <t>MIRAH, MINAGRI, MESRS,MSLS</t>
  </si>
  <si>
    <t>-</t>
  </si>
  <si>
    <t>organiser des missions de terrrain de soutien à la création des CRN, CDD et de suivi</t>
  </si>
  <si>
    <t>Assurer les  indemnités des membres du Secrétariat Technique Permanent</t>
  </si>
  <si>
    <t>Assurer la remuneration des Resssources Humaines additionnelles (non fonctionnaire) du Secrétariat Technique Permanent; les primes et missions des membres du STP</t>
  </si>
  <si>
    <t>Organiser des sessions de coaching des ONG et des agents des Structures sociales sur le depistage et a la prise en charge de la malnutrition (y compris le surpoids)</t>
  </si>
  <si>
    <t>Doter les etablissements carceraux en intrants nutritionnels</t>
  </si>
  <si>
    <t>Appuyer/Soutenir le suivi nutritionel dans les villages par les AC</t>
  </si>
  <si>
    <t>Reproduire et doter les ESPC et Hopitaux generaux   en supports educatifs (boite à images; tableau de croissance …) sur la promotion des AEN</t>
  </si>
  <si>
    <t>Reproduire et diffuser la stratégie de biofortification des aliments.</t>
  </si>
  <si>
    <t>Organiser une semaine nationale d'intensification des actions de nutrition dans les Districts sanitaires ( Supplementer en fer, vitamine A, deparasitage, depistage et prise en charge de la malnutrition. conseils Femme enceintes et allaitantes, enfants</t>
  </si>
  <si>
    <t>Élaborer et diffuser la strategie communautaire de supplementation de routine des enfants de 0-59 mois en Vitamine A</t>
  </si>
  <si>
    <t>Reproduire et diffuser la stratégie d'enrichissement des aliments en micronutriments (fortification industrielle et domestique)</t>
  </si>
  <si>
    <t>Sensibiliser les députés à l'importance de la sécurité nutritionnelle des ménages</t>
  </si>
  <si>
    <t>Mettre en place un comité de sélection et validation des besoins et résultats de recherche  en matière de nutrition et le rendre fonctionnelle</t>
  </si>
  <si>
    <t xml:space="preserve"> </t>
  </si>
  <si>
    <t>2000*</t>
  </si>
  <si>
    <t>1*</t>
  </si>
  <si>
    <t>*1</t>
  </si>
  <si>
    <t>50*</t>
  </si>
  <si>
    <t>*10</t>
  </si>
  <si>
    <t>10*</t>
  </si>
  <si>
    <t>160*</t>
  </si>
  <si>
    <t>12*0</t>
  </si>
  <si>
    <t>80*</t>
  </si>
  <si>
    <t>40*</t>
  </si>
  <si>
    <t>19*</t>
  </si>
  <si>
    <t>450*</t>
  </si>
  <si>
    <t>*300</t>
  </si>
  <si>
    <t>*150</t>
  </si>
  <si>
    <t>150*</t>
  </si>
  <si>
    <t>5*</t>
  </si>
  <si>
    <t>*5</t>
  </si>
  <si>
    <t>20*</t>
  </si>
  <si>
    <t>*20</t>
  </si>
  <si>
    <t>3*</t>
  </si>
  <si>
    <t>4*</t>
  </si>
  <si>
    <t>*</t>
  </si>
  <si>
    <t>17500*</t>
  </si>
  <si>
    <t>15000*</t>
  </si>
  <si>
    <t>75000*</t>
  </si>
  <si>
    <t>25000*</t>
  </si>
  <si>
    <t>*1500</t>
  </si>
  <si>
    <t>*1750</t>
  </si>
  <si>
    <t>1000*</t>
  </si>
  <si>
    <t>750*</t>
  </si>
  <si>
    <t>Participer aux reunions regionales et internationales sur la recherche en nutrition</t>
  </si>
  <si>
    <t>Prise en charge du CNN aux reunions regionales et internationales sur la nutrition</t>
  </si>
  <si>
    <t>Organiser un plaidoyer auprès des partenaires au développement  pour le soutien à la mise en œuvre de la stratégie de nutrition</t>
  </si>
  <si>
    <t xml:space="preserve">RESULTAT STRATEGIQUE 7:UN ENVIRONNEMENT FAVORABLE À LA NUTRITION EST CRÉÉ ET LA GOUVERNANCE EST RENFORCÉE
</t>
  </si>
  <si>
    <t>sous total Effet 2.2 : Les PVVIH/OEV et autres groupes spécifiques  sont  dépistées et reçoivent des soins et soutien nutritionnels</t>
  </si>
  <si>
    <t>sous total Effet 3.1 : La production alimentaire est suffisante, diversifiées et riche en nutriments et accessible dans les zones d'insécurité alimentaire</t>
  </si>
  <si>
    <t>Effet 3.2: Les techniques et les infrastructures d'entreposage, de conservation,  de transformation (cultures, élevage) sont améliorées au niveau national</t>
  </si>
  <si>
    <t>Effet 4.1: le système intégré d'analyse du risque est mise en place et fonctionne correctement</t>
  </si>
  <si>
    <t>Effet 4.2: La gestion du risque est amélioré</t>
  </si>
  <si>
    <t>Effet 4.3: Les acteurs de la chaine de valeur sont informés et sensibilisés</t>
  </si>
  <si>
    <t>Effet 5.1: Les ménages vulnérables ont accès à des services de protection sociale</t>
  </si>
  <si>
    <t>Effet 5.2 : Les ménages vulnérables ont leurs capacités renforcées face aux effets du changement climatique et autres chocs/ épidémies</t>
  </si>
  <si>
    <t>Effet 6.1 : Chaque ménage a accès à une source d’eau potable</t>
  </si>
  <si>
    <t>Effet 6.2: Chaque ménage a une hygiène améliorée et a accès à un système d’assainissement adéquat</t>
  </si>
  <si>
    <t>Effet 7.1 : La collaboration et la coordination intra et intersectorielle sont renforcées</t>
  </si>
  <si>
    <t xml:space="preserve">RESULTAT STRATEGIQUE 3: LA DISPONIBILITÉ ET L'ACCES À DES ALIMENTS NUTRITFS ET DIVERSIFIÉS POUR LA CONSOMMATION SONT DURABLEMENT ACCRUS   </t>
  </si>
  <si>
    <t>totalEffet 7.5 : Un système de suivi et évaluation est disponible à tous les niveaux</t>
  </si>
  <si>
    <t>total Effet 7.4 : La recherche fondamentale et opérationnelle est renforcée</t>
  </si>
  <si>
    <t>total Effet 7.3 : Les programmes de formation initiale sont renforcés en matière de nutrition</t>
  </si>
  <si>
    <t xml:space="preserve">Hygiène et accès à l’eau potable et aux systèmes d’assainissement </t>
  </si>
  <si>
    <t xml:space="preserve">Reviser/elaborer les normes nationales  sur les produits alimentaires </t>
  </si>
  <si>
    <t>elaborer les testes reglementaire organiser un atelier de consensus pour la mise en place d' un comié national de validation des sujets et des résultas de la recherche</t>
  </si>
  <si>
    <t xml:space="preserve">texte reglementant le fonctionnement </t>
  </si>
  <si>
    <t xml:space="preserve"> un comié national de validation des sujets et des résultas de la recherche fonctionnel</t>
  </si>
  <si>
    <t xml:space="preserve">elaborer les textes reglementant le fonctionnement du comité </t>
  </si>
  <si>
    <t xml:space="preserve">Installer des  HVA dans 671 localités des régions à prévalence élévée de malnutrition </t>
  </si>
  <si>
    <t>Construire des points d'eau potables dans les écoles en milieu rural</t>
  </si>
  <si>
    <t>Aménager les terres pour  les cultures   intensives et de  contre-saison  (avec  système  d'irrigation  goutte  à  goutte)</t>
  </si>
  <si>
    <t xml:space="preserve">Mettre en place un comité national et des dispositifs régionaux d'identification et d'évaluation des risques </t>
  </si>
  <si>
    <t>100 000 000</t>
  </si>
  <si>
    <t>Equiper les laboratoires  pour le controle sanitaire des aliments</t>
  </si>
  <si>
    <t>Organiser des ateliers de formation des douaniers et des agents des ministeres du commerce, des ressources animales et halieutiques, de l'agriculture, de l'industrie, de la santé, de la recherche scientifique aux contrôle des aliments</t>
  </si>
  <si>
    <t>un syteme de surveillance existe et  fonctionnel</t>
  </si>
  <si>
    <t>Mettre en place un système de traçabilité  opérationnel</t>
  </si>
  <si>
    <t>90 000 000</t>
  </si>
  <si>
    <t>Equiper les structures pour le controle qualité des produits phyto sanitaires et DAOA</t>
  </si>
  <si>
    <t xml:space="preserve">MFFE, collectivités territoriales, </t>
  </si>
  <si>
    <t>MSHP</t>
  </si>
  <si>
    <t xml:space="preserve">MFFE, MEN, collectivités territoriales, </t>
  </si>
  <si>
    <t>Reproduire et diffuser les directives sur la supplémentation en micronutriments</t>
  </si>
  <si>
    <t xml:space="preserve">MFFE, MEAS collectivités territoriales, </t>
  </si>
  <si>
    <t xml:space="preserve">MFFE, MEAS, MEN, collectivités territoriales, </t>
  </si>
  <si>
    <t xml:space="preserve">MFFE,MEAS collectivités territoriales, </t>
  </si>
  <si>
    <t xml:space="preserve">MFFE, MEAS,MEN, collectivités territoriales, </t>
  </si>
  <si>
    <t xml:space="preserve">MFFE, Mcollectivités territoriales, </t>
  </si>
  <si>
    <t>_</t>
  </si>
  <si>
    <t xml:space="preserve">MFFE, MEAS, MCO, MEN, collectivités territoriales,  </t>
  </si>
  <si>
    <t xml:space="preserve">MFFE, collectivités territoriales,MINADER </t>
  </si>
  <si>
    <t>MFFE, collectivités territoriales, MINADER</t>
  </si>
  <si>
    <t>MIM,MC,Collectivités, Association consommateurs</t>
  </si>
  <si>
    <t>MIM, MC, MINADER,Collectivités, Associations consommateurs</t>
  </si>
  <si>
    <t>MFFE, Collectivités, Association consommateurs</t>
  </si>
  <si>
    <t>MFFE,collectivités</t>
  </si>
  <si>
    <t>MIM, MC, MESRS,MINADER,Collectivités, Association consommateurs</t>
  </si>
  <si>
    <t>MINADER, MESRES, Collectivité, Association consommateurs</t>
  </si>
  <si>
    <t>MINADER, MESRES, Association consommateurs, collectivités</t>
  </si>
  <si>
    <t xml:space="preserve"> MEN</t>
  </si>
  <si>
    <t>MEN</t>
  </si>
  <si>
    <t>Former les agents de santé des SSU  au depistage  et au suivi de la "prise de poids saine"</t>
  </si>
  <si>
    <t xml:space="preserve">% de cas dépistés au niveau des SSU et CREMOS et référés </t>
  </si>
  <si>
    <t>% de personnels des SSSU formés au dépistage de la malnutrition      % de personnels des CREMOS formés au dépistage de la malnutrition</t>
  </si>
  <si>
    <t>% de services de SSSU équipés en matériel de dépistage                       % de services deCREMOS  équipés en matériel de dépistage</t>
  </si>
  <si>
    <t xml:space="preserve">Doter les  SSSUet les CREMOS en outils de collecte et de suivi </t>
  </si>
  <si>
    <t>MSHP,MINADER, MIRA, MFFE, Collectivités,</t>
  </si>
  <si>
    <t>MEN, collectivités</t>
  </si>
  <si>
    <t>Collectivités</t>
  </si>
  <si>
    <t>MSFFE, MEAS,</t>
  </si>
  <si>
    <t xml:space="preserve">MSHP </t>
  </si>
  <si>
    <t>MFFE,MEAS</t>
  </si>
  <si>
    <t>collectivités</t>
  </si>
  <si>
    <t>% d'enfants de moins de cinq ans en surpoids dépistés dans les structures sanitaires et sociales</t>
  </si>
  <si>
    <t xml:space="preserve">Elaborer/Valider et diffuser le guide pour la prise en charge nutritionnelle communautaires des PVVIH </t>
  </si>
  <si>
    <t>Organiser des sessions de Formation des agents de santé à la prise en charge de la malnutrition des PVVIH</t>
  </si>
  <si>
    <t>Sensibiliser sur le régime alimentaire et les activités sportives adaptées aux groupes spécifiques</t>
  </si>
  <si>
    <t>MS</t>
  </si>
  <si>
    <t>MINADER, MIRAH, MSHP</t>
  </si>
  <si>
    <t>MINADER</t>
  </si>
  <si>
    <t>MINADER/ MIRAH</t>
  </si>
  <si>
    <t>MSHP/collectivités</t>
  </si>
  <si>
    <t xml:space="preserve">MINADER, </t>
  </si>
  <si>
    <t>MINADER, MIRAH</t>
  </si>
  <si>
    <t>MIRAH- MINADER</t>
  </si>
  <si>
    <t>MI, MC, MT, MSHP</t>
  </si>
  <si>
    <t>MIIE</t>
  </si>
  <si>
    <t>MINADER, MIRAH,Collectivités</t>
  </si>
  <si>
    <t>MIRAH, MIE</t>
  </si>
  <si>
    <t>Collectivités, MIM, MSHP</t>
  </si>
  <si>
    <t>MPME</t>
  </si>
  <si>
    <t xml:space="preserve"> MINADER</t>
  </si>
  <si>
    <t>MINADER, MSHP</t>
  </si>
  <si>
    <t>équiper les dispositifs</t>
  </si>
  <si>
    <t>MINADER,MIRAH</t>
  </si>
  <si>
    <t>M</t>
  </si>
  <si>
    <t>MIRAH, MSHP</t>
  </si>
  <si>
    <t xml:space="preserve"> MSHP</t>
  </si>
  <si>
    <t>Doter les structures sanitaires publiques en equipement et intrant de prise en charge des maladies d'origines d'alimentaire</t>
  </si>
  <si>
    <t xml:space="preserve">MIRAH, MINADER, MIM, MC, </t>
  </si>
  <si>
    <t>MINADER/MIRAH</t>
  </si>
  <si>
    <t>MSHP, MC, MI, collectivités</t>
  </si>
  <si>
    <t xml:space="preserve">MINADER, MIM, MC, collectivité </t>
  </si>
  <si>
    <t>% d'agriculteurs contrôlés % de vétérinaires controlés</t>
  </si>
  <si>
    <t xml:space="preserve">Former les producteurs   aux  bonnes pratiques  de  conservations  et  de  transformation  des denrées  alimentaires y compris DAOA </t>
  </si>
  <si>
    <t>Former les producteurs   aux  bonnes pratiques  de  conservations  et  de  transformation  des denrées  alimentaires y compris les DAOA</t>
  </si>
  <si>
    <t>MSHP, MC, MT</t>
  </si>
  <si>
    <t>MINADER,MIRAH,MC,Collectivités</t>
  </si>
  <si>
    <t>Organiser a l'attention des  inspecteurs sanitaire des sessions de formation sur le controle sanitaire des aliments et des lieux de vente</t>
  </si>
  <si>
    <t>MINADER, MIRAH, Colectivités</t>
  </si>
  <si>
    <t>MINADER, MIRAH MSHP</t>
  </si>
  <si>
    <t>MC, collectivités</t>
  </si>
  <si>
    <t>MIRAH, MINADER</t>
  </si>
  <si>
    <t>,MSHP,MIM,MC, Collectivités</t>
  </si>
  <si>
    <t xml:space="preserve">MIN COMMERCE, </t>
  </si>
  <si>
    <t xml:space="preserve">MIN COMMERCE,  </t>
  </si>
  <si>
    <t xml:space="preserve">MIN INDUSTRIE, </t>
  </si>
  <si>
    <t xml:space="preserve"> MIN INDUSTRIE</t>
  </si>
  <si>
    <t>MINADER, MIRAH, MSLS , MIRAH,MIM, MC</t>
  </si>
  <si>
    <t>Equiper les structures d'inspection pour le contrôle sanitaire des aliments</t>
  </si>
  <si>
    <t xml:space="preserve">MIRAH,MINADER, MSHP,MC, MIM, MESRS, COLLECTIVITÉS… </t>
  </si>
  <si>
    <t>MIRAH, MINADER , Collectivités</t>
  </si>
  <si>
    <t>MEMI, collectivités locales</t>
  </si>
  <si>
    <t>la politique et le plan stratégie de l'allaitement est diffusé</t>
  </si>
  <si>
    <t xml:space="preserve">Élaborer la politique et le plan stratégique de l'allaitement </t>
  </si>
  <si>
    <t xml:space="preserve"> MEAS, MINAGRI, MIRAH, MFFE</t>
  </si>
  <si>
    <t>MEAS, MINADER MIRAH</t>
  </si>
  <si>
    <t>MSHP, MFFE, MCO, MEAS, MINADER, MIRAH, MEN, Collectivites territoriales</t>
  </si>
  <si>
    <t>% de  structures menant des activités de nutrition approvisionnées en supports de communication</t>
  </si>
  <si>
    <t>MSHP, MCO, Collectivites territoriales</t>
  </si>
  <si>
    <t xml:space="preserve"> MCOM</t>
  </si>
  <si>
    <t xml:space="preserve"> MCOM,Collectivites territoriales</t>
  </si>
  <si>
    <t>Nombre d'activités de communication  de masse et de proximité organisées par région</t>
  </si>
  <si>
    <t>Organiser une caravane nationale sur les bonnes pratiques nutritionnelles (dans 20 Régions sanitaires)</t>
  </si>
  <si>
    <t>MEMIS, MCO, MSFFE, collectivités territoriales</t>
  </si>
  <si>
    <t xml:space="preserve">MEMIS, MCO, MSFFE, </t>
  </si>
  <si>
    <t>MEMIS, MCO, MSFFE, Collectivites territoriales</t>
  </si>
  <si>
    <t>MEN, MEAS, MSFFE,MINADER,</t>
  </si>
  <si>
    <t>MSFFE, MEMEASFP, MINADER, MIRAH,Collectivites territoriales</t>
  </si>
  <si>
    <t>MSFFE, MEAS,MFFE, MINADER, MIRAH, MIE, Collectivites territoriales</t>
  </si>
  <si>
    <t>MSFFE, MEAS, MIE, MFFE,MINADERCollectivites territoriales</t>
  </si>
  <si>
    <t>MEMIS, MINADER, Collectivites territoriales</t>
  </si>
  <si>
    <t>MFFE,MEAS,Collectivites territoriales</t>
  </si>
  <si>
    <t>MFFE,MEAS,Collectivites territoriales, minader ,MIRAH, MIE</t>
  </si>
  <si>
    <t>% d'hôpitaux de référence technique certifiés "amis des bébés"</t>
  </si>
  <si>
    <t>MFFE</t>
  </si>
  <si>
    <t>% de structures sociales assurant la promotion des AEN+</t>
  </si>
  <si>
    <t>MSFFE, MEAS, Collectivites territoriales</t>
  </si>
  <si>
    <t xml:space="preserve">% d'écoles amies de la nutrition dans les chefs lieu de région </t>
  </si>
  <si>
    <t>RESULTAT STRATEGIQUE 6: L'HYGIENE ET L'ACCES A L'EAU POTABLE ET AUX SYSTEMES D'ASSAINISSEMENT SONT AMELIORES DANS LES ZONES À FORTE PRÉVALENCE DE MALNUTRITION</t>
  </si>
  <si>
    <t>% de ménages adoptant des bonnes techniques culturales et d'élevage</t>
  </si>
  <si>
    <t>MIRAH, MSHP, MINADER, MESRS</t>
  </si>
  <si>
    <t xml:space="preserve"> MIRAH,MSHP, MIM,MC, Collectivités</t>
  </si>
  <si>
    <t xml:space="preserve">  MIRAH,MSHP, MIM,MC, Collectivités</t>
  </si>
  <si>
    <t>MSHP, MINADER, MIRAH</t>
  </si>
  <si>
    <t>MSHP/MINAGRI</t>
  </si>
  <si>
    <t>MSHP, MIRAH, MINESUDD</t>
  </si>
  <si>
    <t>MSHP, MPFFPE, MCO, MEAS, MINADER, MIRAH, MEN, Collectivites territoriales</t>
  </si>
  <si>
    <t>Nombre de formateurs</t>
  </si>
  <si>
    <t>Etablir/mettre à jour le repertoire des agents communautaire et OBC/GDSN (groupe de soutien pour la nutrition) par localités/District/Région</t>
  </si>
  <si>
    <t>%  de PVVIH sous traitement recevant des rations alimentaires  % ORV recevant des rations alimentaires</t>
  </si>
  <si>
    <t xml:space="preserve">MEPS, </t>
  </si>
  <si>
    <t>MEPS</t>
  </si>
  <si>
    <t>MPFFPE</t>
  </si>
  <si>
    <t>MEN , MPFFPE</t>
  </si>
  <si>
    <t>35 000</t>
  </si>
  <si>
    <t>MEN, MPFFPE</t>
  </si>
  <si>
    <t xml:space="preserve">Organiser un atelier de valdation  des critéres pour la mise en place des "ecoles amies de la nutrition" </t>
  </si>
  <si>
    <t xml:space="preserve">Assurer les soins et soutien nutritionnels aux PVVIH et TB </t>
  </si>
  <si>
    <t xml:space="preserve">Quantité d'intrants nutritionnels , de matériels anthropométriques et autres équipements </t>
  </si>
  <si>
    <t>Assurer le soutien nutritionnel aux OEV malnutris</t>
  </si>
  <si>
    <t xml:space="preserve"> MPFFPE,</t>
  </si>
  <si>
    <t xml:space="preserve"> MPFFPE</t>
  </si>
  <si>
    <t xml:space="preserve"> MPFFPE,,</t>
  </si>
  <si>
    <t xml:space="preserve">Acquerir des  équipements anthropométriques pour les structures sanitaires </t>
  </si>
  <si>
    <t xml:space="preserve">Nombre de support de formation  produits MSHP </t>
  </si>
  <si>
    <t>Nombre de support de formation  produits MEPS</t>
  </si>
  <si>
    <t>Nombre de support de formation  produits MPFFPE</t>
  </si>
  <si>
    <t>MEPS, MPFFPE</t>
  </si>
  <si>
    <t>MSHP, MPFFPE</t>
  </si>
  <si>
    <t>MSHP, MPFFPE, MINADER</t>
  </si>
  <si>
    <t>MEPS, MPFFPE,MINADER</t>
  </si>
  <si>
    <t xml:space="preserve"> MSHP,MEPSMINADER, MIRAH, MEN,MIE</t>
  </si>
  <si>
    <t xml:space="preserve">reproduire et diffuser les supports de communication MEPS </t>
  </si>
  <si>
    <t>Nombre de support  de communication  produits les tradi praticien , les religieus et agents de developpement</t>
  </si>
  <si>
    <t>MPFFPE, MEPS</t>
  </si>
  <si>
    <t>MSHP,MEPS</t>
  </si>
  <si>
    <t>Nombre de support  de communication  produits les travailleurs sociaux agents de developpement</t>
  </si>
  <si>
    <t>/MPFFPE,  MEPS, MFFE,MINADER,MIECollectivites territoriales</t>
  </si>
  <si>
    <t>MSHP, MEAS, MFFE,MINADER,MIECollectivites territoriales</t>
  </si>
  <si>
    <t>MPFFPE,  MEAS, MIE, MFFE,MINADERCollectivites territoriales</t>
  </si>
  <si>
    <t xml:space="preserve"> MPFFP</t>
  </si>
  <si>
    <t>mettre en place FFARN/OBC/GDSN (groupe de soutien pour la nutrition)  MPFFPE</t>
  </si>
  <si>
    <t>mettre en place FFARN/OBC/GDSN (groupe de soutien pour la nutrition) par le MSHP</t>
  </si>
  <si>
    <t>Assurer le coaching des agents communautaires/OBC/FFARN formés en AEN+ (MSHP)</t>
  </si>
  <si>
    <t>Assurer le coaching des agents communautaires/OBC/FFARN formés en AEN+ (MPFFPE)</t>
  </si>
  <si>
    <t xml:space="preserve">% de mères ayant bénéficiées d'au moins une séance de sensibilisation en AEN+  </t>
  </si>
  <si>
    <t>Organiser des sessions de sensibilisation sur les AEN par le MSHP</t>
  </si>
  <si>
    <t>Organiser des sessions de sensibilisation sur les AEN par le MPFFPE</t>
  </si>
  <si>
    <t>Organiser des sessions de sensibilisation sur les AEN par le MEPS</t>
  </si>
  <si>
    <t xml:space="preserve"> MPFFPEMEAS, MINADER, MIRAH, MIE Collectivites territoriales</t>
  </si>
  <si>
    <t xml:space="preserve"> MSHP,MPFFPE, MINADER, MIRAH, MIE Collectivites territoriales</t>
  </si>
  <si>
    <t>MSHP,</t>
  </si>
  <si>
    <t xml:space="preserve">Développer l'initiative "Ecole amies de la nutrition" dans les établissementst préscolaires en milieu urbain </t>
  </si>
  <si>
    <t xml:space="preserve">Développer l'initiative "Ecole amies de la nutrition" dans les établissements primaires en milieu urbain </t>
  </si>
  <si>
    <t>MEN,</t>
  </si>
  <si>
    <t xml:space="preserve"> MSHP/MC/ COLLECTIVITÉS</t>
  </si>
  <si>
    <t xml:space="preserve"> MSHP/MC/ COLECTIVITÉS</t>
  </si>
  <si>
    <t>organiser la supervision intégrée MSHP:MEN</t>
  </si>
  <si>
    <t>MSHP MEPS,</t>
  </si>
  <si>
    <t xml:space="preserve"> MEPS,</t>
  </si>
  <si>
    <t>MSHP,MPFFPE</t>
  </si>
  <si>
    <t>MPFFPE,</t>
  </si>
  <si>
    <t>MEPS,</t>
  </si>
  <si>
    <t>,MPFFPE</t>
  </si>
  <si>
    <t>organiser la formation des encadreurs des cantines</t>
  </si>
  <si>
    <t>organiser le suivi/ supervision de la distribution</t>
  </si>
  <si>
    <t>/MEN/MSHP</t>
  </si>
  <si>
    <t>MSHP Colectivités</t>
  </si>
  <si>
    <t>Apporter un appui aux equipes regionales et departementales  pour l'organisation des supervisions mensuelles et trimestrielles niveau districts et regions des agents de santé et des services sociaux sur la PEC de la malnutrition</t>
  </si>
  <si>
    <t>% d'enfants de moins de cinq ans modérément malnutris correctement pris en charge dans les structures sanitaires et sociales</t>
  </si>
  <si>
    <t xml:space="preserve">Organiser le coaching des FFARN pour la PEC </t>
  </si>
  <si>
    <t>Soutenir le fonctionnement des communautés "amies de la nutrition" (groupe de soutien pour la nutrition) MPFFPE</t>
  </si>
  <si>
    <t>Soutenir le fonctionnement des communautés "amies de la nutrition" (groupe de soutien pour la nutrition) par le MSHP</t>
  </si>
  <si>
    <t>Assurer le coaching des agents communautaires/OBC/FFARN formés en AEN+ (MEPS)</t>
  </si>
  <si>
    <t xml:space="preserve">Organiser des sessions de  formation des formateurs  départementaux  sur la promotion des AEN+ et la surveillance nutrtionnelle </t>
  </si>
  <si>
    <t xml:space="preserve">MSHP, </t>
  </si>
  <si>
    <t>MPFFPE,MEPS, Collectivites territoriales, minader ,MIRAH, MIE</t>
  </si>
  <si>
    <t>nombre de supports elaborés et harmonisés</t>
  </si>
  <si>
    <t>nombre de spots tele</t>
  </si>
  <si>
    <t xml:space="preserve">reproduire et diffuser les supports de communication pour les communautaires ( tradipraticien , religieux..) MSHP </t>
  </si>
  <si>
    <t>Former en cascade les Agents Communautaires; les membres des groupes de soutien et groupes de paroles sur l'AEN+ par le MSHP</t>
  </si>
  <si>
    <t>Former en cascade les Agents Communautaires; les membres des groupes de soutien et groupes de paroles sur l'AEN+ par le MPFFPE</t>
  </si>
  <si>
    <t>Former en cascade les Agents Communautaires; les membres des groupes de soutien et groupes de paroles sur l'AEN+ par  MEPS</t>
  </si>
  <si>
    <t>elaborer les outils de gestion des FFAR:OBC/GDSN</t>
  </si>
  <si>
    <t>reproduire et diffuser les outils de gestion (MSHP)</t>
  </si>
  <si>
    <t>reproduire et diffuser les outils de gestion (MMPFFPE)</t>
  </si>
  <si>
    <t>reproduire et diffuser les outils de gestion (MEPS)</t>
  </si>
  <si>
    <t xml:space="preserve"> MEPS</t>
  </si>
  <si>
    <t>mettre en place FFARN/OBC/GDSN (groupe de soutien pour la nutrition)  MEPS</t>
  </si>
  <si>
    <t>Soutenir le fonctionnement des communautés "amies de la nutrition" (groupe de soutien pour la nutrition) par le MEPS</t>
  </si>
  <si>
    <t>MSHP, MFFE,MINADER,MIECollectivites territoriales</t>
  </si>
  <si>
    <t>MSHP,MPFFPE,  MIE, ,MINADERCollectivites territoriales</t>
  </si>
  <si>
    <t>organiser la supervision intégrée MSHP, MPFFPE, MEPS</t>
  </si>
  <si>
    <t>Former en cascade les prestataires de sante  sur les AEN et les nouvelles courbes de croissance MSHP</t>
  </si>
  <si>
    <t>Former en cascade  les agents sociaux sur les AEN et les nouvelles courbes de croissance MEPS</t>
  </si>
  <si>
    <t>Former en cascade les agents sociaux et les maitre d'education sur les AEN et les nouvelles courbes de croissance</t>
  </si>
  <si>
    <t>Reproduire et doter les structures sociales en supports educatifs (boite à images; courbe de croissance…) sur la promotion des AEN MPFFPE</t>
  </si>
  <si>
    <t>MFFPE</t>
  </si>
  <si>
    <t>Reproduire et doter les structures sociales en supports educatifs (boite à images; courbe de croissance…) sur la promotion des AEN MEPS</t>
  </si>
  <si>
    <t>Nombre de support  de communication  produits pour les maitresses d'education et les travailleurs sociaux et agents de developpement</t>
  </si>
  <si>
    <t>acquérir et distribuer les poudres de micronutriments multiples aux enfants de 6-23 mois</t>
  </si>
  <si>
    <t>Mettre en oeuvre la strategie communautaire de supplementation de routine des enfants de 0-59 mois en Vitamine A dans une region</t>
  </si>
  <si>
    <t xml:space="preserve">sous total Effet 1.1 : </t>
  </si>
  <si>
    <t>,MEPS</t>
  </si>
  <si>
    <t xml:space="preserve"> MSHP, MEPS,  Collectivites territoriales</t>
  </si>
  <si>
    <t xml:space="preserve"> MSHP,MPFFPE MINADER Collectivites territoriales</t>
  </si>
  <si>
    <t xml:space="preserve"> MPFFPE,MEPS, MINADER Collectivites territoriales</t>
  </si>
  <si>
    <t>MSHP, MEMIS,MINADER, Collectivites territoriales</t>
  </si>
  <si>
    <t>MSHP, MPFFPEMEMIS,MINADER, Collectivites territoriales</t>
  </si>
  <si>
    <t>MPFFPE, PEPS, MEMIS,MINADER, Collectivites territoriales</t>
  </si>
  <si>
    <t>MSFFE, MEPS, MINADER,Collectivites territoriales</t>
  </si>
  <si>
    <t>Former les producteurs à  une meilleure  utilisation  des  produits  vétérinaires</t>
  </si>
  <si>
    <t>Former les producteurs à  une meilleure  utilisation  des  produits agropharmaceutiques  </t>
  </si>
  <si>
    <t xml:space="preserve"> MIRAH</t>
  </si>
  <si>
    <t>Organiser des sessions de Formation des formateurs sur la nutrition a l'attention des encadreurs agricoles</t>
  </si>
  <si>
    <t>MC</t>
  </si>
  <si>
    <t>MINADER,MIRAH,Collectivités</t>
  </si>
  <si>
    <t>Labéliser les ecoles amies de la nutrition</t>
  </si>
  <si>
    <t xml:space="preserve">Organiser les sessions de formation pour la creation  les Unités Nutritionnelles (UNT) dans les hopitaux </t>
  </si>
  <si>
    <t>Organiser les sessions de formation en cascade pour la creation  les Unités Nutritionnelles (UNTA,UNS) dans les centres de Santé</t>
  </si>
  <si>
    <t>0rganiser la formation des formateurs nationaux et departementaux des intervenants sociaux</t>
  </si>
  <si>
    <t>Organiser les sessions de formation en cascade pour la creation  les Unités Nutritionnelles (UNS) dans les centres  dans les Structures sociales</t>
  </si>
  <si>
    <t xml:space="preserve">Doter d'Assistantes nutritionistes les Unités Nutritionnelles thérapeutiques dans les hopitaux des regions à forte prévalence  </t>
  </si>
  <si>
    <t xml:space="preserve">Organiser des sessions de coaching  agents de santé sur le depistage et a la prise en charge de la malnutrition (y compris le surpoids)                                                           </t>
  </si>
  <si>
    <t xml:space="preserve">Organiser des sessions de Formation/recyclage formateurs nationaux et départementaux  de santé  sur le protocole de PECMA </t>
  </si>
  <si>
    <t>Apporter un appui aux equipes regionales et departementales  pour l'organisation des supervisions mensuelles et trimestrielles niveau districts et regions des agents de santé sur la PEC de la malnutrition</t>
  </si>
  <si>
    <t>Apporter un appui aux equipes regionales et departementales  pour l'organisation des supervisions mensuelles et trimestrielles niveau districts et regions des intervenants  des services sociaux sur la PEC de la malnutrition modérée</t>
  </si>
  <si>
    <t xml:space="preserve">Organiser des supervisions intégrées  semestrielles des agents des structures de santé et centres sociaux sur la PEC de la malnutrition </t>
  </si>
  <si>
    <t xml:space="preserve">Acquérir des équipements anthropométriques pour les structures sociales </t>
  </si>
  <si>
    <t>Organiser des sessions de Formation des agents de santé et sociaux à la gestion des stock d' ATPE</t>
  </si>
  <si>
    <t xml:space="preserve">Quantité d'intrants nutritionnels, </t>
  </si>
  <si>
    <t>Quantité de matériels anthropométriques et autres équipements acquise</t>
  </si>
  <si>
    <t>procedures d'acquisition disponibles</t>
  </si>
  <si>
    <t>MPFFE</t>
  </si>
  <si>
    <t xml:space="preserve">Doter les strucures sociales du MPFFPE en outils de gestion des stock des intrants nutritionnels </t>
  </si>
  <si>
    <t>Doter les strucures de santé en outils de gestion des stock d' ATPE</t>
  </si>
  <si>
    <t xml:space="preserve">% d'enfants de moins de cinq ans malnutris aiguë modérés dépistés et pris en charge dans les structures sanitaires </t>
  </si>
  <si>
    <t>% d'enfants de moins de cinq ans malnutris aiguë modérés dépistés et pris en charge dans les structures  sociales</t>
  </si>
  <si>
    <t>% d'enfants de moins de cinq ans malnutris aiguë modérés dépistés et pris en charge dans les structures sociales</t>
  </si>
  <si>
    <t xml:space="preserve">Elaborer les procedures intégrées d'acquisition des intrants nutritionnels (ATPE, matériels anthropométriques et autres intrants </t>
  </si>
  <si>
    <t>% de strucures dotées</t>
  </si>
  <si>
    <t>Apporter un appui à la NSP pour la gestion et la distibution des intrants nutritionnels</t>
  </si>
  <si>
    <t xml:space="preserve">Acquerir les aliments therapeutiques pour les structures de santé et sociales </t>
  </si>
  <si>
    <t>Etablir les critéres pour la labélisation des communautés amies de la nutrition</t>
  </si>
  <si>
    <t>Organiser la formation des formateurs nationaux et regionaux des agents des ministeres  concernés  sur les intervenions nutritionnelles communautaires ( voir action 1.1.3.1</t>
  </si>
  <si>
    <t xml:space="preserve">Reproduire et diffuser les supports de communication MPFFPE </t>
  </si>
  <si>
    <t>Reproduire et diffuser les supports de formation MEPS</t>
  </si>
  <si>
    <t>Reproduire et diffuser les supports de formation pour le MSHP</t>
  </si>
  <si>
    <t>Reproduire et diffuser les supports de formation MPFFPE</t>
  </si>
  <si>
    <t xml:space="preserve">Reproduire et distribuer les supports de communication sur les bonnes pratiques nutritionnelles aux structures de santé </t>
  </si>
  <si>
    <t>Realiser et diffuser les spots tele</t>
  </si>
  <si>
    <t xml:space="preserve">Organiser des sessions de formation des formateurs nationaux,  sur la promotion des AEN+ et la surveillance nutrtionnelle des minsiteres en charge de l'action sociale et de la femme ,  </t>
  </si>
  <si>
    <t>les critères sont élaborés</t>
  </si>
  <si>
    <t>organiser le suivi/ supervision de la distribution et de l'utilisation</t>
  </si>
  <si>
    <t xml:space="preserve">organiser la formation des formateurs nationaux et departementaux </t>
  </si>
  <si>
    <t>Acquérir les micronutriments</t>
  </si>
  <si>
    <t>% de femmes, enceintes, allaitantes malnutries dépistées et prises en charge dans les structures sanitaires</t>
  </si>
  <si>
    <t>Prendre en charge les femmes soufrant de MAM, allaitantes</t>
  </si>
  <si>
    <t>Elaborer un guide diététique de prise en charge des maladies chroniques  y compris les PVVIH</t>
  </si>
  <si>
    <t>trois guides thématiques sont élaborés</t>
  </si>
  <si>
    <t>0rganiser le coaching des formateurs  sociaux</t>
  </si>
  <si>
    <t xml:space="preserve">Organiser le coaching des formateurs en santé </t>
  </si>
  <si>
    <t xml:space="preserve">% d'enfant depistés au niveau des FFARN </t>
  </si>
  <si>
    <t>sous total Effet 2. 1 :  Les femmes, femmes enceintes, les femmes allaitantes, et les enfants de moins de cinq ans malnutris reçoivent des soins et soutien nutritionnels</t>
  </si>
  <si>
    <t>Effet 1.2 : Les adolescentes, les femmes enceintes et les enfants de moins de 5 ans sont correctement déparasités et supplémentés en vitamines et minéraux</t>
  </si>
  <si>
    <t>sous total Effet 7.6 : Un cadre législatif et règlementaire est mis en place</t>
  </si>
  <si>
    <t xml:space="preserve">Evaluer une fois par an la qualité de la prise en charge des groupes spécifiques  au niveau national </t>
  </si>
  <si>
    <t>Apporter un appui à l'organisation  des réunions bilans regionales de la prise en charge des groupes spéciques</t>
  </si>
  <si>
    <t>coacher les centres sociaux pour le soutien nutritionnel</t>
  </si>
  <si>
    <t xml:space="preserve">Organiser des supervisions intégrées  semestrielles des agents des structures de  PEC des groupes spécifiques  </t>
  </si>
  <si>
    <t>Assurer dans les structures sanitaires le depistage du surpoids chez les enfants de moins de 5 ans</t>
  </si>
  <si>
    <t>J104</t>
  </si>
  <si>
    <t xml:space="preserve">Déparasiter les élèves de 5 à 12 ans </t>
  </si>
  <si>
    <t>300 000 000</t>
  </si>
  <si>
    <t>MSHP, MINAGRI, MIRAH, MSFFE</t>
  </si>
  <si>
    <t>MENET/MSHP</t>
  </si>
  <si>
    <t>Organiser trois ateliers d'harmonisation des supports de communication</t>
  </si>
  <si>
    <t xml:space="preserve">Passer des conventions avec des radios de proximite pour la diffusion mensuelle de message sur les bonnes pratiques nutritionnelles </t>
  </si>
  <si>
    <t>Organiser la semaine mondiale de l'allaitement dans la region d'Abidjan et éclatée dans 6 autres régions</t>
  </si>
  <si>
    <t>Organiser la journée nationale de promotion de la consommation des fruits et des legumes</t>
  </si>
  <si>
    <t>Actualiser, reproduire et diffuser le  profile</t>
  </si>
  <si>
    <t>% de femmes enceintes supplémentées en fer et en acide folique</t>
  </si>
  <si>
    <t xml:space="preserve">Stratégie disponible </t>
  </si>
  <si>
    <t>Equiper les SSSU en materiel anthropométrique</t>
  </si>
  <si>
    <t>Apporter un appui à l'organisation  des réunions bilans regionales de la prise en charge au niveau des structures sociales</t>
  </si>
  <si>
    <t>Apporter un appui à l'organisation  des réunions bilans regionales de la prise en charge au niveau des structures  sanitaires</t>
  </si>
  <si>
    <t xml:space="preserve">Mettre en place/equiper des foyers FFARN/pour la prise en charge des cas modérés dans les districts à forte prevalence </t>
  </si>
  <si>
    <t>Organiser une semaine nationale d'intensification des actions de nutrition dans les Districts sanitaires : depistage et prise en charge de la malnutrition  y compris les mesures preventives ( Supplementer en fer, vitamine A, deparasitage,suivi promotion de la croissance, conseils )</t>
  </si>
  <si>
    <t>Elaborer un plan d'approvisionnement des intrants nutritionnels integre à la NPSP</t>
  </si>
  <si>
    <t>Doter les structures sociales du MEPS en outils de gestion des stock des intrants nutritionnels</t>
  </si>
  <si>
    <t>Assurer dans les structures sanitaires le depistage du surpoids chez les femmes enceintes</t>
  </si>
  <si>
    <t xml:space="preserve">Produire et diffuser des guides diététiques sur les bonnes pratiques alimentaires des malades y compris les PVVIH </t>
  </si>
  <si>
    <t xml:space="preserve">Assurer les intrants nutritionnels dans les centres specialisés  pour la PEC des maladies chroniques autres que le VIH </t>
  </si>
  <si>
    <t>% de denrées alimentaires disponibles dans les zones de sécurité alimentaire</t>
  </si>
  <si>
    <t>Elaborer un protocole de prise en charge des maladies d'origine alimentaire</t>
  </si>
  <si>
    <r>
      <t xml:space="preserve">Construires de points d'eau potables dans les centres de santé </t>
    </r>
    <r>
      <rPr>
        <sz val="12"/>
        <rFont val="Calibri"/>
        <family val="2"/>
      </rPr>
      <t>en milieu rural</t>
    </r>
  </si>
  <si>
    <t xml:space="preserve">Doter les structures de santé  en dispositifs de lave-mains </t>
  </si>
  <si>
    <r>
      <t>Effet 1.1</t>
    </r>
    <r>
      <rPr>
        <sz val="12"/>
        <rFont val="Calibri"/>
        <family val="2"/>
      </rPr>
      <t xml:space="preserve"> : La communication pour l’adoption des comportements et des normes sociales favorables à la nutrition est renforcée à tous les niveaux</t>
    </r>
  </si>
  <si>
    <r>
      <t>Extrant 1.1.1</t>
    </r>
    <r>
      <rPr>
        <sz val="12"/>
        <rFont val="Calibri"/>
        <family val="2"/>
      </rPr>
      <t xml:space="preserve"> : un plan de communication sur les bonnes pratiques nutritionnelles est mis en œuvre</t>
    </r>
  </si>
  <si>
    <r>
      <rPr>
        <b/>
        <sz val="12"/>
        <rFont val="Calibri"/>
        <family val="2"/>
      </rPr>
      <t xml:space="preserve">Action 1.1.1.1 </t>
    </r>
    <r>
      <rPr>
        <sz val="12"/>
        <rFont val="Calibri"/>
        <family val="2"/>
      </rPr>
      <t>: Finaliser et vulgariser le plan de communication intégré et multisectoriel</t>
    </r>
  </si>
  <si>
    <r>
      <rPr>
        <b/>
        <sz val="12"/>
        <rFont val="Calibri"/>
        <family val="2"/>
      </rPr>
      <t xml:space="preserve">Action 1.1.1.2 </t>
    </r>
    <r>
      <rPr>
        <sz val="12"/>
        <rFont val="Calibri"/>
        <family val="2"/>
      </rPr>
      <t>: Rendre disponible les supports de communication  dans les etablissements sanitaires</t>
    </r>
  </si>
  <si>
    <r>
      <rPr>
        <b/>
        <sz val="12"/>
        <rFont val="Calibri"/>
        <family val="2"/>
      </rPr>
      <t xml:space="preserve">Action 1.1.1.3 : </t>
    </r>
    <r>
      <rPr>
        <sz val="12"/>
        <rFont val="Calibri"/>
        <family val="2"/>
      </rPr>
      <t>Etablir des conventions avec des radios de proximité pour la promotion des AEN+</t>
    </r>
  </si>
  <si>
    <r>
      <rPr>
        <b/>
        <sz val="12"/>
        <rFont val="Calibri"/>
        <family val="2"/>
      </rPr>
      <t>Action 1.1.1.4 :</t>
    </r>
    <r>
      <rPr>
        <sz val="12"/>
        <rFont val="Calibri"/>
        <family val="2"/>
      </rPr>
      <t xml:space="preserve"> Etablir des conventions avec des professionnels des média pour la promotion des AEN+</t>
    </r>
  </si>
  <si>
    <r>
      <rPr>
        <b/>
        <sz val="12"/>
        <rFont val="Calibri"/>
        <family val="2"/>
      </rPr>
      <t>Action 1.1.1.5 :</t>
    </r>
    <r>
      <rPr>
        <sz val="12"/>
        <rFont val="Calibri"/>
        <family val="2"/>
      </rPr>
      <t xml:space="preserve"> Organiser des émissions audiovisuelles sur la nutrition</t>
    </r>
  </si>
  <si>
    <r>
      <rPr>
        <b/>
        <sz val="12"/>
        <rFont val="Calibri"/>
        <family val="2"/>
      </rPr>
      <t>Action 1.1.1.6 :</t>
    </r>
    <r>
      <rPr>
        <sz val="12"/>
        <rFont val="Calibri"/>
        <family val="2"/>
      </rPr>
      <t xml:space="preserve"> Mettre en œuvre des activités de communication de masse et de proximité </t>
    </r>
  </si>
  <si>
    <r>
      <rPr>
        <b/>
        <sz val="12"/>
        <rFont val="Calibri"/>
        <family val="2"/>
      </rPr>
      <t xml:space="preserve">Action 1.1.1.7 : </t>
    </r>
    <r>
      <rPr>
        <sz val="12"/>
        <rFont val="Calibri"/>
        <family val="2"/>
      </rPr>
      <t>Commémorer la semaine mondiale de l'allaitement maternel et autres évènements relatifs à la nutrition</t>
    </r>
  </si>
  <si>
    <r>
      <t>Extrant 1.1.2</t>
    </r>
    <r>
      <rPr>
        <sz val="12"/>
        <rFont val="Calibri"/>
        <family val="2"/>
      </rPr>
      <t xml:space="preserve"> : Les acteurs communautaires assurent la promotion des AEN+</t>
    </r>
  </si>
  <si>
    <r>
      <rPr>
        <b/>
        <sz val="12"/>
        <rFont val="Calibri"/>
        <family val="2"/>
      </rPr>
      <t xml:space="preserve">Action 1.1.2.1: </t>
    </r>
    <r>
      <rPr>
        <sz val="12"/>
        <rFont val="Calibri"/>
        <family val="2"/>
      </rPr>
      <t>Rendre disponibles</t>
    </r>
    <r>
      <rPr>
        <b/>
        <sz val="12"/>
        <rFont val="Calibri"/>
        <family val="2"/>
      </rPr>
      <t xml:space="preserve"> l</t>
    </r>
    <r>
      <rPr>
        <sz val="12"/>
        <rFont val="Calibri"/>
        <family val="2"/>
      </rPr>
      <t>es supports de formation continue pour la promotion des AEN+ dans les structures sanitaires, pour les agents communautaires, les travailleurs sociaux,  les maitresses d'éducation permanente, les religieux, les  tradi-thérapeutes les agents de développement rural</t>
    </r>
  </si>
  <si>
    <r>
      <rPr>
        <b/>
        <sz val="12"/>
        <rFont val="Calibri"/>
        <family val="2"/>
      </rPr>
      <t>Action 1.1.2.2</t>
    </r>
    <r>
      <rPr>
        <sz val="12"/>
        <rFont val="Calibri"/>
        <family val="2"/>
      </rPr>
      <t xml:space="preserve"> :  Produire les supports de formations continue pour la promotion des AEN+ pour les agents,  communautaires, les   travailleurs sociaux, les maitresses d éducation, religieux, tradi thérapeutes, les agents de développement.</t>
    </r>
  </si>
  <si>
    <r>
      <rPr>
        <b/>
        <sz val="12"/>
        <rFont val="Calibri"/>
        <family val="2"/>
      </rPr>
      <t>Action 1.1.2.3</t>
    </r>
    <r>
      <rPr>
        <sz val="12"/>
        <rFont val="Calibri"/>
        <family val="2"/>
      </rPr>
      <t xml:space="preserve"> :  reproduire les supports de de communication  pour la promotion des AEN+ pour les agents,  communautaires, les   travailleurs sociaux, les maitresses d éducation, religieux, tradi thérapeutes, les agents de développement.</t>
    </r>
  </si>
  <si>
    <r>
      <rPr>
        <b/>
        <sz val="12"/>
        <rFont val="Calibri"/>
        <family val="2"/>
      </rPr>
      <t>Action 1.1.2.4 :</t>
    </r>
    <r>
      <rPr>
        <sz val="12"/>
        <rFont val="Calibri"/>
        <family val="2"/>
      </rPr>
      <t xml:space="preserve"> Renforcer les capacités des agents communautaires en promotion des AEN+</t>
    </r>
  </si>
  <si>
    <r>
      <rPr>
        <b/>
        <sz val="12"/>
        <rFont val="Calibri"/>
        <family val="2"/>
      </rPr>
      <t>Action 1.1.2.5 :</t>
    </r>
    <r>
      <rPr>
        <sz val="12"/>
        <rFont val="Calibri"/>
        <family val="2"/>
      </rPr>
      <t xml:space="preserve"> Mettre en place les communautés "amies de la nutrition"</t>
    </r>
  </si>
  <si>
    <r>
      <t>Nombre de FFARN/OBC/GDSN (groupe de soutien pour la nutrition) fonctionnels</t>
    </r>
    <r>
      <rPr>
        <sz val="12"/>
        <rFont val="Calibri"/>
        <family val="2"/>
      </rPr>
      <t xml:space="preserve"> par an</t>
    </r>
  </si>
  <si>
    <r>
      <rPr>
        <b/>
        <sz val="12"/>
        <rFont val="Calibri"/>
        <family val="2"/>
      </rPr>
      <t xml:space="preserve">Action 1.1.2.6 : </t>
    </r>
    <r>
      <rPr>
        <sz val="12"/>
        <rFont val="Calibri"/>
        <family val="2"/>
      </rPr>
      <t>Former les Praticiens de la médecine traditionnelle pour la promotion des AEN+</t>
    </r>
  </si>
  <si>
    <r>
      <rPr>
        <sz val="12"/>
        <rFont val="Calibri"/>
        <family val="2"/>
      </rPr>
      <t>Organiser des sessions de formation à l'attention des  tradi-thérapeutes pour la promotion des AEN+</t>
    </r>
  </si>
  <si>
    <r>
      <rPr>
        <b/>
        <sz val="12"/>
        <rFont val="Calibri"/>
        <family val="2"/>
      </rPr>
      <t>Action 1.1.2.7 :</t>
    </r>
    <r>
      <rPr>
        <sz val="12"/>
        <rFont val="Calibri"/>
        <family val="2"/>
      </rPr>
      <t xml:space="preserve"> Former les leaders religieux pour la promotion des AEN+</t>
    </r>
  </si>
  <si>
    <r>
      <rPr>
        <sz val="12"/>
        <rFont val="Calibri"/>
        <family val="2"/>
      </rPr>
      <t>Organiser des sessions de formation à l'attention des leaders religieux (ARSIP) pour la promotion des AEN+</t>
    </r>
  </si>
  <si>
    <r>
      <rPr>
        <b/>
        <sz val="12"/>
        <rFont val="Calibri"/>
        <family val="2"/>
      </rPr>
      <t>Action 1.1.2.8 :</t>
    </r>
    <r>
      <rPr>
        <sz val="12"/>
        <rFont val="Calibri"/>
        <family val="2"/>
      </rPr>
      <t xml:space="preserve"> Organiser le suivi post formation/coaching des agents communautaires formés en AEN+</t>
    </r>
  </si>
  <si>
    <r>
      <rPr>
        <b/>
        <sz val="12"/>
        <rFont val="Calibri"/>
        <family val="2"/>
      </rPr>
      <t>Action 1.1.2.9 :</t>
    </r>
    <r>
      <rPr>
        <sz val="12"/>
        <rFont val="Calibri"/>
        <family val="2"/>
      </rPr>
      <t xml:space="preserve"> Organiser des séances de sensibilisation locales en AEN+ </t>
    </r>
  </si>
  <si>
    <r>
      <t>Extrant 1.1.3</t>
    </r>
    <r>
      <rPr>
        <sz val="12"/>
        <rFont val="Calibri"/>
        <family val="2"/>
      </rPr>
      <t xml:space="preserve"> : la promotion des AEN+ par les structures sociales et sanitaires est intensifiée</t>
    </r>
  </si>
  <si>
    <r>
      <rPr>
        <b/>
        <sz val="12"/>
        <rFont val="Calibri"/>
        <family val="2"/>
      </rPr>
      <t>Action 1.1.3.1 :</t>
    </r>
    <r>
      <rPr>
        <sz val="12"/>
        <rFont val="Calibri"/>
        <family val="2"/>
      </rPr>
      <t xml:space="preserve"> Renforcer les capacités des structures sanitaires , sociale et IFEP pour la promotion des AEN+</t>
    </r>
  </si>
  <si>
    <r>
      <rPr>
        <b/>
        <sz val="12"/>
        <rFont val="Calibri"/>
        <family val="2"/>
      </rPr>
      <t>Action 1.1.3.2:</t>
    </r>
    <r>
      <rPr>
        <sz val="12"/>
        <rFont val="Calibri"/>
        <family val="2"/>
      </rPr>
      <t xml:space="preserve"> Poursuivre l'initiative "hôpitaux amis des bébés" au niveau des hôpitaux de référence technique</t>
    </r>
  </si>
  <si>
    <r>
      <rPr>
        <b/>
        <sz val="12"/>
        <rFont val="Calibri"/>
        <family val="2"/>
      </rPr>
      <t>Action 1.1.3.3:</t>
    </r>
    <r>
      <rPr>
        <sz val="12"/>
        <rFont val="Calibri"/>
        <family val="2"/>
      </rPr>
      <t xml:space="preserve"> Renforcer les capacités des structures sociales pour la promotion des AEN+</t>
    </r>
  </si>
  <si>
    <r>
      <rPr>
        <b/>
        <sz val="12"/>
        <rFont val="Calibri"/>
        <family val="2"/>
      </rPr>
      <t xml:space="preserve">Action 1.1.3.4 : </t>
    </r>
    <r>
      <rPr>
        <sz val="12"/>
        <rFont val="Calibri"/>
        <family val="2"/>
      </rPr>
      <t>Mettre en place l'initiative pour une "croissance saine"</t>
    </r>
  </si>
  <si>
    <r>
      <rPr>
        <b/>
        <sz val="12"/>
        <rFont val="Calibri"/>
        <family val="2"/>
      </rPr>
      <t>Action 1.1.3.5 :</t>
    </r>
    <r>
      <rPr>
        <sz val="12"/>
        <rFont val="Calibri"/>
        <family val="2"/>
      </rPr>
      <t xml:space="preserve"> Développer l'initiative "Ecole amies de la nutrition" dans les établissements primaires  et préscolaires en milieu urbain </t>
    </r>
  </si>
  <si>
    <r>
      <rPr>
        <b/>
        <sz val="12"/>
        <rFont val="Calibri"/>
        <family val="2"/>
      </rPr>
      <t>Action 1.1.3.6 :</t>
    </r>
    <r>
      <rPr>
        <sz val="12"/>
        <rFont val="Calibri"/>
        <family val="2"/>
      </rPr>
      <t xml:space="preserve"> Réviser la composante nutrition dans les curricula scolaires</t>
    </r>
  </si>
  <si>
    <r>
      <t>Effet 1.2</t>
    </r>
    <r>
      <rPr>
        <sz val="12"/>
        <rFont val="Calibri"/>
        <family val="2"/>
      </rPr>
      <t xml:space="preserve"> : Les adolescentes, les femmes enceintes, et les enfants de moins de 5 ans sont correctement déparasités et supplémentés en vitamines et minéraux un suivi nutritionnel</t>
    </r>
  </si>
  <si>
    <r>
      <t>Extrant 1.2.1</t>
    </r>
    <r>
      <rPr>
        <sz val="12"/>
        <rFont val="Calibri"/>
        <family val="2"/>
      </rPr>
      <t xml:space="preserve"> :  Les groupes cibles sont déparasités</t>
    </r>
  </si>
  <si>
    <r>
      <rPr>
        <b/>
        <sz val="12"/>
        <rFont val="Calibri"/>
        <family val="2"/>
      </rPr>
      <t xml:space="preserve">Action 1.2.1.1 : </t>
    </r>
    <r>
      <rPr>
        <sz val="12"/>
        <rFont val="Calibri"/>
        <family val="2"/>
      </rPr>
      <t>Déparasiter les femmes enceintes</t>
    </r>
  </si>
  <si>
    <r>
      <rPr>
        <b/>
        <sz val="12"/>
        <rFont val="Calibri"/>
        <family val="2"/>
      </rPr>
      <t xml:space="preserve">Action 1.2.1.2 : </t>
    </r>
    <r>
      <rPr>
        <sz val="12"/>
        <rFont val="Calibri"/>
        <family val="2"/>
      </rPr>
      <t>Déparasiter les enfants de 1 à 12 ans</t>
    </r>
  </si>
  <si>
    <r>
      <rPr>
        <b/>
        <sz val="12"/>
        <rFont val="Calibri"/>
        <family val="2"/>
      </rPr>
      <t xml:space="preserve">Extrant 1.2.2 </t>
    </r>
    <r>
      <rPr>
        <sz val="12"/>
        <rFont val="Calibri"/>
        <family val="2"/>
      </rPr>
      <t>: Les groupes cibles  sont supplémentés en micronutriments</t>
    </r>
  </si>
  <si>
    <r>
      <rPr>
        <b/>
        <sz val="12"/>
        <rFont val="Calibri"/>
        <family val="2"/>
      </rPr>
      <t xml:space="preserve">Action 1.2.2.1 : </t>
    </r>
    <r>
      <rPr>
        <sz val="12"/>
        <rFont val="Calibri"/>
        <family val="2"/>
      </rPr>
      <t>Actualiser les directives sur la supplémentation en micronutriments</t>
    </r>
  </si>
  <si>
    <r>
      <rPr>
        <b/>
        <sz val="12"/>
        <rFont val="Calibri"/>
        <family val="2"/>
      </rPr>
      <t>Action 1.2.2.2 :</t>
    </r>
    <r>
      <rPr>
        <sz val="12"/>
        <rFont val="Calibri"/>
        <family val="2"/>
      </rPr>
      <t xml:space="preserve"> Supplémenter en fer et acide folique les adolescentes</t>
    </r>
  </si>
  <si>
    <r>
      <rPr>
        <b/>
        <sz val="12"/>
        <rFont val="Calibri"/>
        <family val="2"/>
      </rPr>
      <t>Action 1.2.2.3 :</t>
    </r>
    <r>
      <rPr>
        <sz val="12"/>
        <rFont val="Calibri"/>
        <family val="2"/>
      </rPr>
      <t xml:space="preserve"> Supplémenter les femmes enceintes en micronutriments (fer, acide folique, calcium et magnésium)</t>
    </r>
  </si>
  <si>
    <r>
      <rPr>
        <b/>
        <sz val="12"/>
        <rFont val="Calibri"/>
        <family val="2"/>
      </rPr>
      <t>Action 1.2.2.4 :</t>
    </r>
    <r>
      <rPr>
        <sz val="12"/>
        <rFont val="Calibri"/>
        <family val="2"/>
      </rPr>
      <t xml:space="preserve"> Supplémenter en vitamine A les enfants de 6 à 59 mois</t>
    </r>
  </si>
  <si>
    <r>
      <rPr>
        <b/>
        <sz val="12"/>
        <rFont val="Calibri"/>
        <family val="2"/>
      </rPr>
      <t>Action 1.2.2.5 :</t>
    </r>
    <r>
      <rPr>
        <sz val="12"/>
        <rFont val="Calibri"/>
        <family val="2"/>
      </rPr>
      <t xml:space="preserve"> Supplémenter en zinc les enfants de 6 à 59 mois souffrant de diarrhée</t>
    </r>
  </si>
  <si>
    <r>
      <rPr>
        <b/>
        <sz val="12"/>
        <rFont val="Calibri"/>
        <family val="2"/>
      </rPr>
      <t>Action 1. 2.2.6 :</t>
    </r>
    <r>
      <rPr>
        <sz val="12"/>
        <rFont val="Calibri"/>
        <family val="2"/>
      </rPr>
      <t xml:space="preserve"> Organiser deux fois par an une semaine nationale d'intensification des actions de nutrition </t>
    </r>
  </si>
  <si>
    <r>
      <t xml:space="preserve">Action 1. 2.2.7 : </t>
    </r>
    <r>
      <rPr>
        <sz val="12"/>
        <rFont val="Calibri"/>
        <family val="2"/>
      </rPr>
      <t xml:space="preserve">Développer une stratégie pérenne de supplémentation des enfants en vitamine A </t>
    </r>
  </si>
  <si>
    <r>
      <t xml:space="preserve">Extrant 1.2.3 : </t>
    </r>
    <r>
      <rPr>
        <sz val="12"/>
        <rFont val="Calibri"/>
        <family val="2"/>
      </rPr>
      <t>Les groupes cibles consomment des aliments enrichis et bio enrichis</t>
    </r>
  </si>
  <si>
    <r>
      <t xml:space="preserve">Action 1.2.3.1 : </t>
    </r>
    <r>
      <rPr>
        <sz val="12"/>
        <rFont val="Calibri"/>
        <family val="2"/>
      </rPr>
      <t>Renforcer la stratégie d'enrichissement des aliments en micronutriments</t>
    </r>
  </si>
  <si>
    <r>
      <rPr>
        <b/>
        <sz val="12"/>
        <rFont val="Calibri"/>
        <family val="2"/>
      </rPr>
      <t xml:space="preserve">Action 1.2.3.2 : </t>
    </r>
    <r>
      <rPr>
        <sz val="12"/>
        <rFont val="Calibri"/>
        <family val="2"/>
      </rPr>
      <t>Promouvoir la fortification à domicile des repas des enfants de 6 à 23 mois</t>
    </r>
  </si>
  <si>
    <r>
      <rPr>
        <b/>
        <sz val="12"/>
        <rFont val="Calibri"/>
        <family val="2"/>
      </rPr>
      <t xml:space="preserve">Action 1.2.3.3 : </t>
    </r>
    <r>
      <rPr>
        <sz val="12"/>
        <rFont val="Calibri"/>
        <family val="2"/>
      </rPr>
      <t>Développer une stratégie du bio enrichissement des aliments (bio fortification)</t>
    </r>
  </si>
  <si>
    <r>
      <t xml:space="preserve">Extrant 1.2.4 : </t>
    </r>
    <r>
      <rPr>
        <sz val="12"/>
        <rFont val="Calibri"/>
        <family val="2"/>
      </rPr>
      <t xml:space="preserve">Les enfants en milieu scolaire ont un suivi nutritionnel et bénéficient d'une alimentation saine </t>
    </r>
  </si>
  <si>
    <r>
      <rPr>
        <b/>
        <sz val="12"/>
        <rFont val="Calibri"/>
        <family val="2"/>
      </rPr>
      <t xml:space="preserve">Action 1.2.4.1 : </t>
    </r>
    <r>
      <rPr>
        <sz val="12"/>
        <rFont val="Calibri"/>
        <family val="2"/>
      </rPr>
      <t xml:space="preserve">Renforcer les capacités des SSSU et CREMOS pour le dépistage de la malnutrition et le suivi de la "prise de poids saine" </t>
    </r>
  </si>
  <si>
    <r>
      <rPr>
        <b/>
        <sz val="12"/>
        <rFont val="Calibri"/>
        <family val="2"/>
      </rPr>
      <t xml:space="preserve">Action 1.2.4.2 : </t>
    </r>
    <r>
      <rPr>
        <sz val="12"/>
        <rFont val="Calibri"/>
        <family val="2"/>
      </rPr>
      <t>Assurer 4 repas équilibrés par semaine au niveau de chaque cantine scolaire</t>
    </r>
  </si>
  <si>
    <r>
      <rPr>
        <b/>
        <sz val="12"/>
        <rFont val="Calibri"/>
        <family val="2"/>
      </rPr>
      <t xml:space="preserve">Action 1.2.4.3 : </t>
    </r>
    <r>
      <rPr>
        <sz val="12"/>
        <rFont val="Calibri"/>
        <family val="2"/>
      </rPr>
      <t>Promouvoir l'utilisation des poudres de micronutriments pour la fortification des repas scolaires dans les zones à forte prévalence de malnutrition</t>
    </r>
  </si>
  <si>
    <r>
      <rPr>
        <b/>
        <sz val="12"/>
        <rFont val="Calibri"/>
        <family val="2"/>
      </rPr>
      <t xml:space="preserve">Action 1.2.4.4 : </t>
    </r>
    <r>
      <rPr>
        <sz val="12"/>
        <rFont val="Calibri"/>
        <family val="2"/>
      </rPr>
      <t>Organiser les marchés scolaires</t>
    </r>
  </si>
  <si>
    <r>
      <t xml:space="preserve">Organiser le renforcement des capacités et la supervision des marchés scolaires d'Abidjan </t>
    </r>
    <r>
      <rPr>
        <sz val="12"/>
        <rFont val="Calibri"/>
        <family val="2"/>
      </rPr>
      <t>et restaurateurs des rues sur les 5 clés pour des aliments plus surs</t>
    </r>
  </si>
  <si>
    <r>
      <rPr>
        <b/>
        <sz val="12"/>
        <rFont val="Calibri"/>
        <family val="2"/>
      </rPr>
      <t>Effet 2. 1</t>
    </r>
    <r>
      <rPr>
        <sz val="12"/>
        <rFont val="Calibri"/>
        <family val="2"/>
      </rPr>
      <t xml:space="preserve"> :  Les femmes et les enfants de moins de cinq ans malnutris reçoivent des soins et soutien nutritionnels</t>
    </r>
  </si>
  <si>
    <r>
      <t>Extrant 2.1.1</t>
    </r>
    <r>
      <rPr>
        <sz val="12"/>
        <rFont val="Calibri"/>
        <family val="2"/>
      </rPr>
      <t>: l'offre de services de nutrition est intensifiée</t>
    </r>
  </si>
  <si>
    <r>
      <rPr>
        <b/>
        <sz val="12"/>
        <rFont val="Calibri"/>
        <family val="2"/>
      </rPr>
      <t>Action 2.1.1.1 :</t>
    </r>
    <r>
      <rPr>
        <sz val="12"/>
        <rFont val="Calibri"/>
        <family val="2"/>
      </rPr>
      <t xml:space="preserve"> Produire et diffuser le protocole de prise en charge de la malnutrition et les directives nationales</t>
    </r>
  </si>
  <si>
    <r>
      <rPr>
        <b/>
        <sz val="12"/>
        <rFont val="Calibri"/>
        <family val="2"/>
      </rPr>
      <t xml:space="preserve">Action 2.1.1.2 : </t>
    </r>
    <r>
      <rPr>
        <sz val="12"/>
        <rFont val="Calibri"/>
        <family val="2"/>
      </rPr>
      <t xml:space="preserve">Créer/redynamiser les Unités Nutritionnelles (UNT, UNTA, UNS) dans les structures sanitaires pour le dépistage et la prise en charge de la malnutrition  </t>
    </r>
  </si>
  <si>
    <r>
      <rPr>
        <b/>
        <sz val="12"/>
        <rFont val="Calibri"/>
        <family val="2"/>
      </rPr>
      <t>Action 2.1.1.3</t>
    </r>
    <r>
      <rPr>
        <sz val="12"/>
        <rFont val="Calibri"/>
        <family val="2"/>
      </rPr>
      <t xml:space="preserve"> : Créer/redynamiser les UNS dans les structures sociales pour le dépistage de la malnutrition  </t>
    </r>
  </si>
  <si>
    <r>
      <rPr>
        <b/>
        <sz val="12"/>
        <rFont val="Calibri"/>
        <family val="2"/>
      </rPr>
      <t>Action 2.1.1.4</t>
    </r>
    <r>
      <rPr>
        <sz val="12"/>
        <rFont val="Calibri"/>
        <family val="2"/>
      </rPr>
      <t xml:space="preserve"> : organiser la supervision des activités de prise en charge de la malnutrtion </t>
    </r>
  </si>
  <si>
    <r>
      <rPr>
        <b/>
        <sz val="12"/>
        <rFont val="Calibri"/>
        <family val="2"/>
      </rPr>
      <t>Action 2.1.1.5 :</t>
    </r>
    <r>
      <rPr>
        <sz val="12"/>
        <rFont val="Calibri"/>
        <family val="2"/>
      </rPr>
      <t xml:space="preserve"> Créer/redynamiser les structures communautaires (FFARN,  UNS) pour le dépistage et la prise en charge de la malnutrition </t>
    </r>
  </si>
  <si>
    <r>
      <rPr>
        <b/>
        <sz val="12"/>
        <rFont val="Calibri"/>
        <family val="2"/>
      </rPr>
      <t xml:space="preserve"> Action 2.1.1.6</t>
    </r>
    <r>
      <rPr>
        <sz val="12"/>
        <rFont val="Calibri"/>
        <family val="2"/>
      </rPr>
      <t>: Intensifier le dépistage communautaire de la malnutrition</t>
    </r>
  </si>
  <si>
    <r>
      <rPr>
        <b/>
        <sz val="12"/>
        <rFont val="Calibri"/>
        <family val="2"/>
      </rPr>
      <t>Extrant 212:</t>
    </r>
    <r>
      <rPr>
        <sz val="12"/>
        <rFont val="Calibri"/>
        <family val="2"/>
      </rPr>
      <t xml:space="preserve"> L'approvisionnement des structures sanitaires, sociales et communautaires en intrants nutritionnels est assuré</t>
    </r>
  </si>
  <si>
    <r>
      <rPr>
        <b/>
        <sz val="12"/>
        <rFont val="Calibri"/>
        <family val="2"/>
      </rPr>
      <t>Action 2.1.2.1 :</t>
    </r>
    <r>
      <rPr>
        <sz val="12"/>
        <rFont val="Calibri"/>
        <family val="2"/>
      </rPr>
      <t xml:space="preserve"> Elaborer les procedures intégrées d'acquisition des intrants nutritionnels ( ATPE, matériels anthropométriques et autres intrants </t>
    </r>
  </si>
  <si>
    <r>
      <rPr>
        <b/>
        <sz val="12"/>
        <rFont val="Calibri"/>
        <family val="2"/>
      </rPr>
      <t xml:space="preserve">Action 2.1.2.2: </t>
    </r>
    <r>
      <rPr>
        <sz val="12"/>
        <rFont val="Calibri"/>
        <family val="2"/>
      </rPr>
      <t>Acquérir les intrants nutritionnels , matériels anthropométriques et autres équipements</t>
    </r>
  </si>
  <si>
    <r>
      <rPr>
        <b/>
        <sz val="12"/>
        <rFont val="Calibri"/>
        <family val="2"/>
      </rPr>
      <t xml:space="preserve">Action 2.1.2.3 : </t>
    </r>
    <r>
      <rPr>
        <sz val="12"/>
        <rFont val="Calibri"/>
        <family val="2"/>
      </rPr>
      <t>doter</t>
    </r>
    <r>
      <rPr>
        <b/>
        <sz val="12"/>
        <rFont val="Calibri"/>
        <family val="2"/>
      </rPr>
      <t xml:space="preserve"> </t>
    </r>
    <r>
      <rPr>
        <sz val="12"/>
        <rFont val="Calibri"/>
        <family val="2"/>
      </rPr>
      <t xml:space="preserve"> les structures en intrants nutritionnels et matériel à tous les niveaux de la chaine d approvisionnement </t>
    </r>
  </si>
  <si>
    <r>
      <t xml:space="preserve">Extrant 2.1.3  </t>
    </r>
    <r>
      <rPr>
        <sz val="12"/>
        <rFont val="Calibri"/>
        <family val="2"/>
      </rPr>
      <t>La prise en charge de qualité  de la malnutrition est assurée</t>
    </r>
  </si>
  <si>
    <r>
      <rPr>
        <b/>
        <sz val="12"/>
        <rFont val="Calibri"/>
        <family val="2"/>
      </rPr>
      <t>Action 2.1.3.1</t>
    </r>
    <r>
      <rPr>
        <sz val="12"/>
        <rFont val="Calibri"/>
        <family val="2"/>
      </rPr>
      <t xml:space="preserve"> : rendre disponible les aliments therapeutiques dans les structures de sante pour la prise en charge de la malnutrition aigue severe et modérée </t>
    </r>
  </si>
  <si>
    <r>
      <rPr>
        <b/>
        <sz val="12"/>
        <rFont val="Calibri"/>
        <family val="2"/>
      </rPr>
      <t>Action 2.1.3.2</t>
    </r>
    <r>
      <rPr>
        <sz val="12"/>
        <rFont val="Calibri"/>
        <family val="2"/>
      </rPr>
      <t xml:space="preserve"> : rendre disponible les aliments spécialisés dans les structures de sociale pour la prise en charge de la malnutrition aigue  modérée</t>
    </r>
  </si>
  <si>
    <r>
      <rPr>
        <b/>
        <sz val="12"/>
        <rFont val="Calibri"/>
        <family val="2"/>
      </rPr>
      <t>Effet 2.2</t>
    </r>
    <r>
      <rPr>
        <sz val="12"/>
        <rFont val="Calibri"/>
        <family val="2"/>
      </rPr>
      <t xml:space="preserve"> : Les PVVIH/OEV et autres groupes spécifiques  sont  dépistées et reçoivent des soins et soutien nutritionnels</t>
    </r>
  </si>
  <si>
    <r>
      <rPr>
        <b/>
        <sz val="12"/>
        <rFont val="Calibri"/>
        <family val="2"/>
      </rPr>
      <t>Extrant 2.2.1</t>
    </r>
    <r>
      <rPr>
        <sz val="12"/>
        <rFont val="Calibri"/>
        <family val="2"/>
      </rPr>
      <t xml:space="preserve"> : L'offre de services nutritionnels aux  PVVIH /OEV et autres maladies chroniques est améliorée</t>
    </r>
  </si>
  <si>
    <r>
      <rPr>
        <b/>
        <sz val="12"/>
        <rFont val="Calibri"/>
        <family val="2"/>
      </rPr>
      <t xml:space="preserve">Action 2.2.1.1 : </t>
    </r>
    <r>
      <rPr>
        <sz val="12"/>
        <rFont val="Calibri"/>
        <family val="2"/>
      </rPr>
      <t>Produire et diffuser les directives nationales, guides et protocoles de prise en charge de la malnutrition pour les groupes spécifiques</t>
    </r>
  </si>
  <si>
    <r>
      <rPr>
        <b/>
        <sz val="12"/>
        <rFont val="Calibri"/>
        <family val="2"/>
      </rPr>
      <t xml:space="preserve">Action 2.2.1.2 </t>
    </r>
    <r>
      <rPr>
        <sz val="12"/>
        <rFont val="Calibri"/>
        <family val="2"/>
      </rPr>
      <t xml:space="preserve">: Créer/redynamiser les Unités Nutritionnelles dans les structures sanitaires, sociales et communautaires pour le dépistage et la prise en charge de la malnutrition des groupes spécifiques </t>
    </r>
  </si>
  <si>
    <r>
      <rPr>
        <b/>
        <sz val="12"/>
        <rFont val="Calibri"/>
        <family val="2"/>
      </rPr>
      <t>Action 2.2.1.3:</t>
    </r>
    <r>
      <rPr>
        <sz val="12"/>
        <rFont val="Calibri"/>
        <family val="2"/>
      </rPr>
      <t xml:space="preserve"> Renforcer le soutien nutritionnel </t>
    </r>
  </si>
  <si>
    <r>
      <rPr>
        <b/>
        <sz val="12"/>
        <rFont val="Calibri"/>
        <family val="2"/>
      </rPr>
      <t xml:space="preserve">Action 2.2.1.4 </t>
    </r>
    <r>
      <rPr>
        <sz val="12"/>
        <rFont val="Calibri"/>
        <family val="2"/>
      </rPr>
      <t xml:space="preserve">: Elaborer un guide pour un régime alimentaire et une  activité physique adaptés aux groupes spécifiques </t>
    </r>
  </si>
  <si>
    <r>
      <rPr>
        <b/>
        <sz val="12"/>
        <rFont val="Calibri"/>
        <family val="2"/>
      </rPr>
      <t>Extrant 2.2.2</t>
    </r>
    <r>
      <rPr>
        <sz val="12"/>
        <rFont val="Calibri"/>
        <family val="2"/>
      </rPr>
      <t xml:space="preserve"> : La prise en charge nutritionnelle des personnes en milieu carcéral améliorée</t>
    </r>
  </si>
  <si>
    <r>
      <rPr>
        <b/>
        <sz val="12"/>
        <rFont val="Calibri"/>
        <family val="2"/>
      </rPr>
      <t>Action 2.2.2.1</t>
    </r>
    <r>
      <rPr>
        <sz val="12"/>
        <rFont val="Calibri"/>
        <family val="2"/>
      </rPr>
      <t xml:space="preserve"> :Renforcer la qualité nutritionnelle des repas servis en milieu carcéral</t>
    </r>
  </si>
  <si>
    <r>
      <rPr>
        <b/>
        <sz val="12"/>
        <rFont val="Calibri"/>
        <family val="2"/>
      </rPr>
      <t>Action 2.2.2.2</t>
    </r>
    <r>
      <rPr>
        <sz val="12"/>
        <rFont val="Calibri"/>
        <family val="2"/>
      </rPr>
      <t>: Développer les jardins potagers et le petit élevage en milieu carcéral</t>
    </r>
  </si>
  <si>
    <r>
      <t xml:space="preserve">Action 2.2.2.3: </t>
    </r>
    <r>
      <rPr>
        <sz val="12"/>
        <rFont val="Calibri"/>
        <family val="2"/>
      </rPr>
      <t>Renforcer le dépistage et la prise en charge de la malnutrition en milieu carcéral</t>
    </r>
  </si>
  <si>
    <r>
      <t xml:space="preserve">Action 2.2.3.2: </t>
    </r>
    <r>
      <rPr>
        <sz val="12"/>
        <rFont val="Calibri"/>
        <family val="2"/>
      </rPr>
      <t>acquérir et</t>
    </r>
    <r>
      <rPr>
        <b/>
        <sz val="12"/>
        <rFont val="Calibri"/>
        <family val="2"/>
      </rPr>
      <t xml:space="preserve"> </t>
    </r>
    <r>
      <rPr>
        <sz val="12"/>
        <rFont val="Calibri"/>
        <family val="2"/>
      </rPr>
      <t>rendre disponibles les intrants nutritionnels, matériels anthropométriques et autres équipements à tous les niveaux de la chaine d'approvisionnement</t>
    </r>
  </si>
  <si>
    <r>
      <t>Effet 3.1</t>
    </r>
    <r>
      <rPr>
        <sz val="12"/>
        <rFont val="Calibri"/>
        <family val="2"/>
      </rPr>
      <t xml:space="preserve"> : La production alimentaire est suffisante, diversifiées et riche en nutriments et accessible dans les zones d'insécurité alimentaire</t>
    </r>
  </si>
  <si>
    <r>
      <t>Extrant 3.1.1</t>
    </r>
    <r>
      <rPr>
        <sz val="12"/>
        <rFont val="Calibri"/>
        <family val="2"/>
      </rPr>
      <t xml:space="preserve">: la disponibilité au sein des ménages des produits à haute valeur nutritive est améliorée </t>
    </r>
  </si>
  <si>
    <r>
      <rPr>
        <b/>
        <sz val="12"/>
        <rFont val="Calibri"/>
        <family val="2"/>
      </rPr>
      <t xml:space="preserve">Action 3.1.1.1: </t>
    </r>
    <r>
      <rPr>
        <sz val="12"/>
        <rFont val="Calibri"/>
        <family val="2"/>
      </rPr>
      <t>Promouvoir la production familiale ( fruits, cultures maraîchères et  vivrières) riches en nutriments au niveau des ménages ruraux</t>
    </r>
  </si>
  <si>
    <r>
      <rPr>
        <b/>
        <sz val="12"/>
        <rFont val="Calibri"/>
        <family val="2"/>
      </rPr>
      <t xml:space="preserve"> </t>
    </r>
    <r>
      <rPr>
        <sz val="12"/>
        <rFont val="Calibri"/>
        <family val="2"/>
      </rPr>
      <t>Nombre de terres aménagées fonctionnels</t>
    </r>
  </si>
  <si>
    <r>
      <t xml:space="preserve">Aménager des terres pour les cultures intensives et de contre saison (avec  système d'irrigation goutte à goutte) </t>
    </r>
    <r>
      <rPr>
        <sz val="12"/>
        <rFont val="Calibri"/>
        <family val="2"/>
      </rPr>
      <t>repeté VOIR résilience</t>
    </r>
  </si>
  <si>
    <r>
      <rPr>
        <sz val="12"/>
        <rFont val="Calibri"/>
        <family val="2"/>
      </rPr>
      <t xml:space="preserve">% des ménages ayant accès au petit matériel d'irrigation </t>
    </r>
  </si>
  <si>
    <r>
      <rPr>
        <b/>
        <sz val="12"/>
        <rFont val="Calibri"/>
        <family val="2"/>
      </rPr>
      <t xml:space="preserve">Action 3.1.1.2: </t>
    </r>
    <r>
      <rPr>
        <sz val="12"/>
        <rFont val="Calibri"/>
        <family val="2"/>
      </rPr>
      <t>Développer les groupements agricoles pour un approvisionnement alimentaire diversifié des cantines scolaires</t>
    </r>
  </si>
  <si>
    <r>
      <t>% des cantines scolaires approvisionnées par les groupements agricoles</t>
    </r>
    <r>
      <rPr>
        <sz val="12"/>
        <rFont val="Calibri"/>
        <family val="2"/>
      </rPr>
      <t xml:space="preserve">% de ménages recevant un kit alimentaire des groupements </t>
    </r>
  </si>
  <si>
    <r>
      <rPr>
        <b/>
        <sz val="12"/>
        <rFont val="Calibri"/>
        <family val="2"/>
      </rPr>
      <t>Action 3.1.1.3 :</t>
    </r>
    <r>
      <rPr>
        <sz val="12"/>
        <rFont val="Calibri"/>
        <family val="2"/>
      </rPr>
      <t>Développer l'agriculture vivrière urbaine et péri-urbaine des ménages</t>
    </r>
  </si>
  <si>
    <r>
      <rPr>
        <b/>
        <sz val="12"/>
        <rFont val="Calibri"/>
        <family val="2"/>
      </rPr>
      <t xml:space="preserve">Action 3.1.1.4 : </t>
    </r>
    <r>
      <rPr>
        <sz val="12"/>
        <rFont val="Calibri"/>
        <family val="2"/>
      </rPr>
      <t>faciliter l'accès aux semences et plants des cultures plus productives</t>
    </r>
  </si>
  <si>
    <r>
      <rPr>
        <b/>
        <sz val="12"/>
        <rFont val="Calibri"/>
        <family val="2"/>
      </rPr>
      <t>Action 3.1.1.6:</t>
    </r>
    <r>
      <rPr>
        <sz val="12"/>
        <rFont val="Calibri"/>
        <family val="2"/>
      </rPr>
      <t xml:space="preserve"> Développer le petit élevage au sein des ménages au niveau rural</t>
    </r>
  </si>
  <si>
    <t xml:space="preserve">Octroyer des noyaux d'élevage avicole traditionnel </t>
  </si>
  <si>
    <r>
      <rPr>
        <b/>
        <sz val="12"/>
        <rFont val="Calibri"/>
        <family val="2"/>
      </rPr>
      <t>Action 3.1.1.7:</t>
    </r>
    <r>
      <rPr>
        <sz val="12"/>
        <rFont val="Calibri"/>
        <family val="2"/>
      </rPr>
      <t xml:space="preserve"> Promouvoir l'aquaculture  au sein des communautés vivant aux alentours des points d'eau (étangs piscicoles…)</t>
    </r>
  </si>
  <si>
    <r>
      <rPr>
        <b/>
        <sz val="12"/>
        <rFont val="Calibri"/>
        <family val="2"/>
      </rPr>
      <t>Action 3.1.1.8:</t>
    </r>
    <r>
      <rPr>
        <sz val="12"/>
        <rFont val="Calibri"/>
        <family val="2"/>
      </rPr>
      <t xml:space="preserve"> Promouvoir la pêche artisanale dans les zones en insécurité alimentaire et favorables à l'activité</t>
    </r>
  </si>
  <si>
    <r>
      <rPr>
        <b/>
        <sz val="12"/>
        <rFont val="Calibri"/>
        <family val="2"/>
      </rPr>
      <t>Action 3.1.1.9:</t>
    </r>
    <r>
      <rPr>
        <sz val="12"/>
        <rFont val="Calibri"/>
        <family val="2"/>
      </rPr>
      <t xml:space="preserve"> Renforcer la production laitière dans les zones en insécurité alimentaire et favorables à l'activité</t>
    </r>
  </si>
  <si>
    <r>
      <rPr>
        <b/>
        <sz val="12"/>
        <rFont val="Calibri"/>
        <family val="2"/>
      </rPr>
      <t>Action 3.1.1.10:</t>
    </r>
    <r>
      <rPr>
        <sz val="12"/>
        <rFont val="Calibri"/>
        <family val="2"/>
      </rPr>
      <t xml:space="preserve"> Renforcer les capacités des acteurs sur les techniques de production  améliorée</t>
    </r>
  </si>
  <si>
    <r>
      <t xml:space="preserve">Extrant 3.1.2 : </t>
    </r>
    <r>
      <rPr>
        <sz val="12"/>
        <rFont val="Calibri"/>
        <family val="2"/>
      </rPr>
      <t>L’accessibilité des ménages aux aliments à haute valeur nutritive est assurée pendant toute l’année</t>
    </r>
  </si>
  <si>
    <r>
      <rPr>
        <b/>
        <sz val="12"/>
        <rFont val="Calibri"/>
        <family val="2"/>
      </rPr>
      <t>Action 3.1.1.11</t>
    </r>
    <r>
      <rPr>
        <sz val="12"/>
        <rFont val="Calibri"/>
        <family val="2"/>
      </rPr>
      <t>: Mettre à la disposition des éleveurs et aquaculteurs des formules alimentaires de qualité à base de sous-produits agricoles et agro-industriels locaux;</t>
    </r>
  </si>
  <si>
    <r>
      <rPr>
        <b/>
        <sz val="12"/>
        <rFont val="Calibri"/>
        <family val="2"/>
      </rPr>
      <t>Action 3.1.1.12</t>
    </r>
    <r>
      <rPr>
        <sz val="12"/>
        <rFont val="Calibri"/>
        <family val="2"/>
      </rPr>
      <t xml:space="preserve"> Renforcer les capacités des services d’encadrement</t>
    </r>
  </si>
  <si>
    <r>
      <t>Extrant 3.1.2</t>
    </r>
    <r>
      <rPr>
        <sz val="12"/>
        <rFont val="Calibri"/>
        <family val="2"/>
      </rPr>
      <t xml:space="preserve"> : l'alimentation diversifiée et riche en nutriment est promue</t>
    </r>
  </si>
  <si>
    <r>
      <rPr>
        <b/>
        <sz val="12"/>
        <rFont val="Calibri"/>
        <family val="2"/>
      </rPr>
      <t xml:space="preserve">Action 3.1.2.1 : </t>
    </r>
    <r>
      <rPr>
        <sz val="12"/>
        <rFont val="Calibri"/>
        <family val="2"/>
      </rPr>
      <t xml:space="preserve">Renforcer les capacités logistiques et opérationnelles des sociétés coopératives pour un transport adéquat des denrées alimentaires </t>
    </r>
  </si>
  <si>
    <r>
      <rPr>
        <b/>
        <sz val="12"/>
        <rFont val="Calibri"/>
        <family val="2"/>
      </rPr>
      <t>Action 3.1.2.2</t>
    </r>
    <r>
      <rPr>
        <sz val="12"/>
        <rFont val="Calibri"/>
        <family val="2"/>
      </rPr>
      <t>: Réhabiliter/ouvrir et entretenir les pistes rurales dans les zones de grande production agricole vivrière</t>
    </r>
  </si>
  <si>
    <r>
      <rPr>
        <b/>
        <sz val="12"/>
        <rFont val="Calibri"/>
        <family val="2"/>
      </rPr>
      <t xml:space="preserve">% </t>
    </r>
    <r>
      <rPr>
        <sz val="12"/>
        <rFont val="Calibri"/>
        <family val="2"/>
      </rPr>
      <t>de pistes rurales des zones de grande production agricole vivrière réhabilitées/ouvertes</t>
    </r>
  </si>
  <si>
    <r>
      <rPr>
        <b/>
        <sz val="12"/>
        <rFont val="Calibri"/>
        <family val="2"/>
      </rPr>
      <t>Action 3.1.2.3</t>
    </r>
    <r>
      <rPr>
        <sz val="12"/>
        <rFont val="Calibri"/>
        <family val="2"/>
      </rPr>
      <t>: Renforcer/faciliter la libre circulation des  denrées alimentaires vers les zones d'insécurité alimentaire</t>
    </r>
  </si>
  <si>
    <r>
      <rPr>
        <b/>
        <sz val="12"/>
        <rFont val="Calibri"/>
        <family val="2"/>
      </rPr>
      <t>Action 3.1.2.4:</t>
    </r>
    <r>
      <rPr>
        <sz val="12"/>
        <rFont val="Calibri"/>
        <family val="2"/>
      </rPr>
      <t xml:space="preserve"> Stabiliser les prix des aliments hautement consommés</t>
    </r>
  </si>
  <si>
    <r>
      <rPr>
        <b/>
        <sz val="12"/>
        <rFont val="Calibri"/>
        <family val="2"/>
      </rPr>
      <t>Action 3.1.2.5:</t>
    </r>
    <r>
      <rPr>
        <sz val="12"/>
        <rFont val="Calibri"/>
        <family val="2"/>
      </rPr>
      <t xml:space="preserve"> Renforcer le contrôle des prix des denrées alimentaires</t>
    </r>
  </si>
  <si>
    <r>
      <rPr>
        <b/>
        <sz val="12"/>
        <rFont val="Calibri"/>
        <family val="2"/>
      </rPr>
      <t>Action 3.1.2.6:</t>
    </r>
    <r>
      <rPr>
        <sz val="12"/>
        <rFont val="Calibri"/>
        <family val="2"/>
      </rPr>
      <t xml:space="preserve"> soutenir l'organisation de la commercialisation primaire des produits agricole</t>
    </r>
  </si>
  <si>
    <r>
      <rPr>
        <b/>
        <sz val="12"/>
        <rFont val="Calibri"/>
        <family val="2"/>
      </rPr>
      <t>Effet 3.2</t>
    </r>
    <r>
      <rPr>
        <sz val="12"/>
        <rFont val="Calibri"/>
        <family val="2"/>
      </rPr>
      <t>: Les techniques et les infrastructures d'entreposage, de conservation,  de transformation (cultures, élevage) sont améliorées au niveau national</t>
    </r>
  </si>
  <si>
    <r>
      <rPr>
        <b/>
        <sz val="12"/>
        <rFont val="Calibri"/>
        <family val="2"/>
      </rPr>
      <t>Extrant 3.2.1</t>
    </r>
    <r>
      <rPr>
        <sz val="12"/>
        <rFont val="Calibri"/>
        <family val="2"/>
      </rPr>
      <t xml:space="preserve"> : les infrastructures et les bonnes techniques de conservation et de transformation des productions  sont vulgarisées </t>
    </r>
  </si>
  <si>
    <r>
      <rPr>
        <b/>
        <sz val="12"/>
        <rFont val="Calibri"/>
        <family val="2"/>
      </rPr>
      <t xml:space="preserve">Action 3.2.1.1 : </t>
    </r>
    <r>
      <rPr>
        <sz val="12"/>
        <rFont val="Calibri"/>
        <family val="2"/>
      </rPr>
      <t>Promouvoir les bonnes techniques de conservation et de  stockage des aliments post récolte et  post capture</t>
    </r>
  </si>
  <si>
    <r>
      <rPr>
        <b/>
        <sz val="12"/>
        <rFont val="Calibri"/>
        <family val="2"/>
      </rPr>
      <t>Action 3.2.1.2 :</t>
    </r>
    <r>
      <rPr>
        <sz val="12"/>
        <rFont val="Calibri"/>
        <family val="2"/>
      </rPr>
      <t xml:space="preserve"> Promouvoir les bonnes techniques de transformation, des aliments post récolte et post capture </t>
    </r>
  </si>
  <si>
    <r>
      <rPr>
        <sz val="12"/>
        <rFont val="Calibri"/>
        <family val="2"/>
      </rPr>
      <t>MIRAH, MPME</t>
    </r>
  </si>
  <si>
    <r>
      <rPr>
        <b/>
        <sz val="12"/>
        <rFont val="Calibri"/>
        <family val="2"/>
      </rPr>
      <t xml:space="preserve">Action 3.2.1.3 : </t>
    </r>
    <r>
      <rPr>
        <sz val="12"/>
        <rFont val="Calibri"/>
        <family val="2"/>
      </rPr>
      <t>Soutenir la fabrication locale des aliments de compléments pour les enfants à partir des produits locaux</t>
    </r>
  </si>
  <si>
    <r>
      <rPr>
        <b/>
        <sz val="12"/>
        <rFont val="Calibri"/>
        <family val="2"/>
      </rPr>
      <t xml:space="preserve">Action 3.2.1.4 : </t>
    </r>
    <r>
      <rPr>
        <sz val="12"/>
        <rFont val="Calibri"/>
        <family val="2"/>
      </rPr>
      <t>Promouvoir et appuyer la création / réhabilitation des infrastructures de conservation, de transformation</t>
    </r>
  </si>
  <si>
    <t> Appuyer l'installation des infrastructures de  fumage et de séchage  de  poissons  et  produits  divers</t>
  </si>
  <si>
    <r>
      <t>RESULTAT STRATEGIQUE 4</t>
    </r>
    <r>
      <rPr>
        <b/>
        <sz val="12"/>
        <rFont val="Calibri"/>
        <family val="2"/>
      </rPr>
      <t xml:space="preserve"> :  LA SECURITE SANITAIRE DES ALIMENTS EST RENFORCEE </t>
    </r>
  </si>
  <si>
    <r>
      <rPr>
        <b/>
        <sz val="12"/>
        <rFont val="Calibri"/>
        <family val="2"/>
      </rPr>
      <t>Effet 4.1</t>
    </r>
    <r>
      <rPr>
        <sz val="12"/>
        <rFont val="Calibri"/>
        <family val="2"/>
      </rPr>
      <t>: le système intégré d'analyse du risque est mise en place et fonctionne correctement</t>
    </r>
  </si>
  <si>
    <r>
      <rPr>
        <b/>
        <sz val="12"/>
        <rFont val="Calibri"/>
        <family val="2"/>
      </rPr>
      <t>Extrant 4.1.1</t>
    </r>
    <r>
      <rPr>
        <sz val="12"/>
        <rFont val="Calibri"/>
        <family val="2"/>
      </rPr>
      <t xml:space="preserve"> Le système d'analyse du risque fonctionne</t>
    </r>
  </si>
  <si>
    <r>
      <rPr>
        <b/>
        <sz val="12"/>
        <rFont val="Calibri"/>
        <family val="2"/>
      </rPr>
      <t>Action 4.1.1.1</t>
    </r>
    <r>
      <rPr>
        <sz val="12"/>
        <rFont val="Calibri"/>
        <family val="2"/>
      </rPr>
      <t xml:space="preserve"> : Mettre en place un comité national et des dispositifs régionaux d'identification et d'évaluation des risques</t>
    </r>
  </si>
  <si>
    <r>
      <rPr>
        <b/>
        <sz val="12"/>
        <rFont val="Calibri"/>
        <family val="2"/>
      </rPr>
      <t>Action 4.1.1.2</t>
    </r>
    <r>
      <rPr>
        <sz val="12"/>
        <rFont val="Calibri"/>
        <family val="2"/>
      </rPr>
      <t xml:space="preserve"> Rendre opérationnel le système d'alerte précoce (Groupement de defense sanitaire (GDS)</t>
    </r>
  </si>
  <si>
    <r>
      <rPr>
        <b/>
        <sz val="12"/>
        <rFont val="Calibri"/>
        <family val="2"/>
      </rPr>
      <t>Action 4.1.1.3</t>
    </r>
    <r>
      <rPr>
        <sz val="12"/>
        <rFont val="Calibri"/>
        <family val="2"/>
      </rPr>
      <t xml:space="preserve"> Renforcer les capacités du comité national et des dispositifs régionaux (formation, équipement, moyens logistiques ...) </t>
    </r>
  </si>
  <si>
    <r>
      <rPr>
        <b/>
        <sz val="12"/>
        <rFont val="Calibri"/>
        <family val="2"/>
      </rPr>
      <t xml:space="preserve">Action 4.1.1.4 </t>
    </r>
    <r>
      <rPr>
        <sz val="12"/>
        <rFont val="Calibri"/>
        <family val="2"/>
      </rPr>
      <t>: Renforcer les capacités des laboratoires de contrôle (formation des ressources humaines, équipements, moyens logistiques et intrants de contrôle)</t>
    </r>
  </si>
  <si>
    <r>
      <rPr>
        <b/>
        <sz val="12"/>
        <rFont val="Calibri"/>
        <family val="2"/>
      </rPr>
      <t xml:space="preserve">Action 4.1.1.5 </t>
    </r>
    <r>
      <rPr>
        <sz val="12"/>
        <rFont val="Calibri"/>
        <family val="2"/>
      </rPr>
      <t>: Créer/Renforcer les capacités de structures d'inspection et de contrôle (logistiques, humaines, et intrants de contrôle)</t>
    </r>
  </si>
  <si>
    <r>
      <rPr>
        <b/>
        <sz val="12"/>
        <rFont val="Calibri"/>
        <family val="2"/>
      </rPr>
      <t>Extrant 4.1.2 :</t>
    </r>
    <r>
      <rPr>
        <sz val="12"/>
        <rFont val="Calibri"/>
        <family val="2"/>
      </rPr>
      <t xml:space="preserve"> La traçabilité des produits alimentaires et des intrants est améliorée </t>
    </r>
  </si>
  <si>
    <r>
      <rPr>
        <b/>
        <sz val="12"/>
        <rFont val="Calibri"/>
        <family val="2"/>
      </rPr>
      <t>Action 4.1.2.1</t>
    </r>
    <r>
      <rPr>
        <sz val="12"/>
        <rFont val="Calibri"/>
        <family val="2"/>
      </rPr>
      <t xml:space="preserve"> Promouvoir  l'étiquetage  </t>
    </r>
  </si>
  <si>
    <r>
      <rPr>
        <b/>
        <sz val="12"/>
        <rFont val="Calibri"/>
        <family val="2"/>
      </rPr>
      <t>Action 4.1.2.2</t>
    </r>
    <r>
      <rPr>
        <sz val="12"/>
        <rFont val="Calibri"/>
        <family val="2"/>
      </rPr>
      <t xml:space="preserve"> Promouvoir la normalisation et l'assurance qualité des produits alimentaires</t>
    </r>
  </si>
  <si>
    <r>
      <rPr>
        <b/>
        <sz val="12"/>
        <rFont val="Calibri"/>
        <family val="2"/>
      </rPr>
      <t>Action 4.1.2.3</t>
    </r>
    <r>
      <rPr>
        <sz val="12"/>
        <rFont val="Calibri"/>
        <family val="2"/>
      </rPr>
      <t xml:space="preserve"> Mettre en place un système de traçabilité  opérationnel</t>
    </r>
  </si>
  <si>
    <r>
      <t>Effet 4.2</t>
    </r>
    <r>
      <rPr>
        <sz val="12"/>
        <rFont val="Calibri"/>
        <family val="2"/>
      </rPr>
      <t>: La gestion du risque est améliorée</t>
    </r>
  </si>
  <si>
    <r>
      <rPr>
        <b/>
        <sz val="12"/>
        <rFont val="Calibri"/>
        <family val="2"/>
      </rPr>
      <t>Extrant 4.2.1 :</t>
    </r>
    <r>
      <rPr>
        <sz val="12"/>
        <rFont val="Calibri"/>
        <family val="2"/>
      </rPr>
      <t xml:space="preserve"> Le système de surveillance épidémiologique incluant les maladies d'origine alimentaire est renforcé</t>
    </r>
  </si>
  <si>
    <r>
      <rPr>
        <b/>
        <sz val="12"/>
        <rFont val="Calibri"/>
        <family val="2"/>
      </rPr>
      <t>Action 4.2.1.1:</t>
    </r>
    <r>
      <rPr>
        <sz val="12"/>
        <rFont val="Calibri"/>
        <family val="2"/>
      </rPr>
      <t xml:space="preserve"> Renforcer le système de surveillance épidémiologique en y incluant les maladies d'origine alimentaire </t>
    </r>
  </si>
  <si>
    <r>
      <rPr>
        <b/>
        <sz val="12"/>
        <rFont val="Calibri"/>
        <family val="2"/>
      </rPr>
      <t>Action 4.2.1.2</t>
    </r>
    <r>
      <rPr>
        <sz val="12"/>
        <rFont val="Calibri"/>
        <family val="2"/>
      </rPr>
      <t xml:space="preserve"> Mettre en place une base de données épidémiologique multisectorielle sur les maladies d'origines alimentaires </t>
    </r>
  </si>
  <si>
    <r>
      <rPr>
        <b/>
        <sz val="12"/>
        <rFont val="Calibri"/>
        <family val="2"/>
      </rPr>
      <t>Action 4.2.1.3</t>
    </r>
    <r>
      <rPr>
        <sz val="12"/>
        <rFont val="Calibri"/>
        <family val="2"/>
      </rPr>
      <t xml:space="preserve"> Renforcer les capacités des laboratoires de référence (formation, equipements logistiques, réactifs et consommables..) pour le diagnostic et la notification des maladies d'origine alimentaire </t>
    </r>
  </si>
  <si>
    <r>
      <t xml:space="preserve">Extrant 4.2.2 : </t>
    </r>
    <r>
      <rPr>
        <sz val="12"/>
        <rFont val="Calibri"/>
        <family val="2"/>
      </rPr>
      <t>La prise en charge des maladies d'origine alimentaire est assurée</t>
    </r>
  </si>
  <si>
    <r>
      <rPr>
        <b/>
        <sz val="12"/>
        <rFont val="Calibri"/>
        <family val="2"/>
      </rPr>
      <t>Action 4.2.2.1</t>
    </r>
    <r>
      <rPr>
        <sz val="12"/>
        <rFont val="Calibri"/>
        <family val="2"/>
      </rPr>
      <t xml:space="preserve"> Elaborer des directives et protocoles de prévention et de prise en charge des cas </t>
    </r>
  </si>
  <si>
    <r>
      <rPr>
        <b/>
        <sz val="12"/>
        <rFont val="Calibri"/>
        <family val="2"/>
      </rPr>
      <t>Action 4.2.2.2</t>
    </r>
    <r>
      <rPr>
        <sz val="12"/>
        <rFont val="Calibri"/>
        <family val="2"/>
      </rPr>
      <t xml:space="preserve"> Renforcer les capacités des structures de prise en charge des cas ( Formation, équipement, intrants…)</t>
    </r>
  </si>
  <si>
    <r>
      <t>Extrant 4.2.3 :</t>
    </r>
    <r>
      <rPr>
        <sz val="12"/>
        <rFont val="Calibri"/>
        <family val="2"/>
      </rPr>
      <t xml:space="preserve"> le dispositif d'intervention est mis en place  </t>
    </r>
  </si>
  <si>
    <r>
      <rPr>
        <b/>
        <sz val="12"/>
        <rFont val="Calibri"/>
        <family val="2"/>
      </rPr>
      <t>Action 4.2.3.1</t>
    </r>
    <r>
      <rPr>
        <sz val="12"/>
        <rFont val="Calibri"/>
        <family val="2"/>
      </rPr>
      <t xml:space="preserve">  Définir le cadre intégré d'interventions</t>
    </r>
  </si>
  <si>
    <r>
      <rPr>
        <b/>
        <sz val="12"/>
        <rFont val="Calibri"/>
        <family val="2"/>
      </rPr>
      <t>Action 4.2.3.3</t>
    </r>
    <r>
      <rPr>
        <sz val="12"/>
        <rFont val="Calibri"/>
        <family val="2"/>
      </rPr>
      <t xml:space="preserve"> Réhabiliter/Créer des sites appropriés de destruction des produits impropres à la consommation</t>
    </r>
  </si>
  <si>
    <r>
      <t xml:space="preserve">Effet 4.3: </t>
    </r>
    <r>
      <rPr>
        <sz val="12"/>
        <rFont val="Calibri"/>
        <family val="2"/>
      </rPr>
      <t>Les acteurs de la chaine de valeur sont informés et sensibilisés</t>
    </r>
  </si>
  <si>
    <r>
      <rPr>
        <b/>
        <sz val="12"/>
        <rFont val="Calibri"/>
        <family val="2"/>
      </rPr>
      <t>Extrant 4.3.1</t>
    </r>
    <r>
      <rPr>
        <sz val="12"/>
        <rFont val="Calibri"/>
        <family val="2"/>
      </rPr>
      <t xml:space="preserve"> Les agriculteurs, les pécheurs, les éleveurs, les commerçants et les transformateurs sont formés a l'adoption de bonnes pratiques </t>
    </r>
  </si>
  <si>
    <r>
      <rPr>
        <b/>
        <sz val="12"/>
        <rFont val="Calibri"/>
        <family val="2"/>
      </rPr>
      <t>Action 4.3.1.1</t>
    </r>
    <r>
      <rPr>
        <sz val="12"/>
        <rFont val="Calibri"/>
        <family val="2"/>
      </rPr>
      <t xml:space="preserve"> Elaborer un guide multisectoriel de bonnes pratiques sur la sécurité sanitaire des aliments </t>
    </r>
  </si>
  <si>
    <r>
      <rPr>
        <b/>
        <sz val="12"/>
        <rFont val="Calibri"/>
        <family val="2"/>
      </rPr>
      <t>Action 4.3.1.2</t>
    </r>
    <r>
      <rPr>
        <sz val="12"/>
        <rFont val="Calibri"/>
        <family val="2"/>
      </rPr>
      <t xml:space="preserve"> Former les agriculteurs à l'utilisation des produits phyto sanitaires et la gestion de leurs emballages</t>
    </r>
  </si>
  <si>
    <r>
      <rPr>
        <b/>
        <sz val="12"/>
        <rFont val="Calibri"/>
        <family val="2"/>
      </rPr>
      <t>Action 4.3.1.3*</t>
    </r>
    <r>
      <rPr>
        <sz val="12"/>
        <rFont val="Calibri"/>
        <family val="2"/>
      </rPr>
      <t xml:space="preserve"> Former les agriculteurs à la conservation et  la transformation primaire des produits agricoles </t>
    </r>
  </si>
  <si>
    <r>
      <rPr>
        <b/>
        <sz val="12"/>
        <rFont val="Calibri"/>
        <family val="2"/>
      </rPr>
      <t>Action 4.3.1.4</t>
    </r>
    <r>
      <rPr>
        <sz val="12"/>
        <rFont val="Calibri"/>
        <family val="2"/>
      </rPr>
      <t xml:space="preserve"> Former les éleveurs a l'utilisation des médicaments vétérinaires </t>
    </r>
  </si>
  <si>
    <r>
      <rPr>
        <b/>
        <sz val="12"/>
        <rFont val="Calibri"/>
        <family val="2"/>
      </rPr>
      <t>Action 4.3.1.5</t>
    </r>
    <r>
      <rPr>
        <sz val="12"/>
        <rFont val="Calibri"/>
        <family val="2"/>
      </rPr>
      <t xml:space="preserve"> Former les pécheurs a une pêche "responsable" (conforme aux normes et réglementations)</t>
    </r>
  </si>
  <si>
    <r>
      <rPr>
        <b/>
        <sz val="12"/>
        <rFont val="Calibri"/>
        <family val="2"/>
      </rPr>
      <t>Action 4.3.1.6</t>
    </r>
    <r>
      <rPr>
        <sz val="12"/>
        <rFont val="Calibri"/>
        <family val="2"/>
      </rPr>
      <t xml:space="preserve"> Réaliser des contrôles relatifs à la qualité et à la bonne utilisation des produits phyto sanitaires et vétérinaires</t>
    </r>
  </si>
  <si>
    <r>
      <t>Extrant 4.3.2</t>
    </r>
    <r>
      <rPr>
        <sz val="12"/>
        <rFont val="Calibri"/>
        <family val="2"/>
      </rPr>
      <t xml:space="preserve"> Les acteurs de la distribution et de la vente des denrées alimentaires sont formés et offrent des denrées alimentaires sûres</t>
    </r>
  </si>
  <si>
    <r>
      <rPr>
        <b/>
        <sz val="12"/>
        <rFont val="Calibri"/>
        <family val="2"/>
      </rPr>
      <t>Action 4.3.2.1</t>
    </r>
    <r>
      <rPr>
        <sz val="12"/>
        <rFont val="Calibri"/>
        <family val="2"/>
      </rPr>
      <t xml:space="preserve"> Former les acteurs de la distribution aux conditions de transport optimal des denrées alimentaires </t>
    </r>
  </si>
  <si>
    <r>
      <rPr>
        <b/>
        <sz val="12"/>
        <rFont val="Calibri"/>
        <family val="2"/>
      </rPr>
      <t>Action 4.3.2.2</t>
    </r>
    <r>
      <rPr>
        <sz val="12"/>
        <rFont val="Calibri"/>
        <family val="2"/>
      </rPr>
      <t xml:space="preserve"> Former les acteurs de la distribution aux stockage et à la conservation  optimale des denrées alimentaires </t>
    </r>
  </si>
  <si>
    <r>
      <rPr>
        <b/>
        <sz val="12"/>
        <rFont val="Calibri"/>
        <family val="2"/>
      </rPr>
      <t>Action 4.3.2.4</t>
    </r>
    <r>
      <rPr>
        <sz val="12"/>
        <rFont val="Calibri"/>
        <family val="2"/>
      </rPr>
      <t xml:space="preserve"> : Améliorer les conditions de vente à l'étale des denrées alimentaires </t>
    </r>
  </si>
  <si>
    <r>
      <rPr>
        <b/>
        <sz val="12"/>
        <rFont val="Calibri"/>
        <family val="2"/>
      </rPr>
      <t>Action 4.3.2.5</t>
    </r>
    <r>
      <rPr>
        <sz val="12"/>
        <rFont val="Calibri"/>
        <family val="2"/>
      </rPr>
      <t xml:space="preserve"> : Améliorer les conditions de la restauration collectives</t>
    </r>
  </si>
  <si>
    <r>
      <rPr>
        <b/>
        <sz val="12"/>
        <rFont val="Calibri"/>
        <family val="2"/>
      </rPr>
      <t>Action 4.3.2.6 :</t>
    </r>
    <r>
      <rPr>
        <sz val="12"/>
        <rFont val="Calibri"/>
        <family val="2"/>
      </rPr>
      <t xml:space="preserve"> Sensibiliser les acteurs du commerce informel sur les mesures d'hygiène et la qualité nutritionnelle des aliments vendus sur les voies publiques</t>
    </r>
  </si>
  <si>
    <r>
      <rPr>
        <b/>
        <sz val="12"/>
        <rFont val="Calibri"/>
        <family val="2"/>
      </rPr>
      <t>Action 4.3.2.7 :</t>
    </r>
    <r>
      <rPr>
        <sz val="12"/>
        <rFont val="Calibri"/>
        <family val="2"/>
      </rPr>
      <t xml:space="preserve"> Encadrer les acteurs du commerce informel des aliments vendus sur les voies publiques</t>
    </r>
  </si>
  <si>
    <r>
      <t>Extrants 4.3.3</t>
    </r>
    <r>
      <rPr>
        <sz val="12"/>
        <rFont val="Calibri"/>
        <family val="2"/>
      </rPr>
      <t xml:space="preserve"> Les ménages sont sensibilisés à la conservation et à l'utilisation des denrées alimentaires </t>
    </r>
  </si>
  <si>
    <r>
      <rPr>
        <b/>
        <sz val="12"/>
        <rFont val="Calibri"/>
        <family val="2"/>
      </rPr>
      <t>Action 4.3.3.1</t>
    </r>
    <r>
      <rPr>
        <sz val="12"/>
        <rFont val="Calibri"/>
        <family val="2"/>
      </rPr>
      <t xml:space="preserve"> : Former les associations de consommateurs sur la conservation et l'utilisation des aliments, les mesures d'hygiène et la qualité nutritionnelle des aliments de rue</t>
    </r>
  </si>
  <si>
    <r>
      <rPr>
        <b/>
        <sz val="12"/>
        <rFont val="Calibri"/>
        <family val="2"/>
      </rPr>
      <t>Action 4.3.3.2</t>
    </r>
    <r>
      <rPr>
        <sz val="12"/>
        <rFont val="Calibri"/>
        <family val="2"/>
      </rPr>
      <t xml:space="preserve"> Organiser des campagnes de sensibilisation à la conservation et à l'utilisation des aliments </t>
    </r>
  </si>
  <si>
    <r>
      <rPr>
        <b/>
        <sz val="12"/>
        <rFont val="Calibri"/>
        <family val="2"/>
      </rPr>
      <t>Action 4.3.3.3 :</t>
    </r>
    <r>
      <rPr>
        <sz val="12"/>
        <rFont val="Calibri"/>
        <family val="2"/>
      </rPr>
      <t xml:space="preserve"> Sensibiliser les ménages sur les mesures d'hygiène et la qualité nutritionnelle des aliments vendus sur les voies publiques</t>
    </r>
  </si>
  <si>
    <r>
      <t xml:space="preserve">RESULTAT STRATEGIQUE 5: LA RESILIENCE DES MENAGES AUX CRISES ALIMENTAIRES ET NUTRITIONNELLES EST </t>
    </r>
    <r>
      <rPr>
        <sz val="12"/>
        <rFont val="Calibri"/>
        <family val="2"/>
      </rPr>
      <t xml:space="preserve"> RENFORCEE</t>
    </r>
  </si>
  <si>
    <r>
      <t>Effet 5.1</t>
    </r>
    <r>
      <rPr>
        <sz val="12"/>
        <rFont val="Calibri"/>
        <family val="2"/>
      </rPr>
      <t>: Les ménages vulnérables ont accès à des services de protection sociale</t>
    </r>
  </si>
  <si>
    <r>
      <t>Extrant 5.1.1</t>
    </r>
    <r>
      <rPr>
        <sz val="12"/>
        <rFont val="Calibri"/>
        <family val="2"/>
      </rPr>
      <t xml:space="preserve"> : les transferts sociaux et secours sont mis en place</t>
    </r>
  </si>
  <si>
    <r>
      <rPr>
        <b/>
        <sz val="12"/>
        <rFont val="Calibri"/>
        <family val="2"/>
      </rPr>
      <t>Action 5.1.1.1 :</t>
    </r>
    <r>
      <rPr>
        <sz val="12"/>
        <rFont val="Calibri"/>
        <family val="2"/>
      </rPr>
      <t xml:space="preserve"> Renforcer les programmes de cash transfert visant les ménages </t>
    </r>
  </si>
  <si>
    <r>
      <rPr>
        <b/>
        <sz val="12"/>
        <rFont val="Calibri"/>
        <family val="2"/>
      </rPr>
      <t>Action 5.1.1.2 :</t>
    </r>
    <r>
      <rPr>
        <sz val="12"/>
        <rFont val="Calibri"/>
        <family val="2"/>
      </rPr>
      <t xml:space="preserve"> Fournir des rations alimentaires aux personnes/ménages</t>
    </r>
  </si>
  <si>
    <r>
      <t>Octroyer des rations alimentaires aux PVVIH sous traitement et</t>
    </r>
    <r>
      <rPr>
        <sz val="12"/>
        <rFont val="Calibri"/>
        <family val="2"/>
      </rPr>
      <t xml:space="preserve"> OEV</t>
    </r>
  </si>
  <si>
    <r>
      <rPr>
        <b/>
        <sz val="12"/>
        <rFont val="Calibri"/>
        <family val="2"/>
      </rPr>
      <t xml:space="preserve"> Action 5.1.1.3 :</t>
    </r>
    <r>
      <rPr>
        <sz val="12"/>
        <rFont val="Calibri"/>
        <family val="2"/>
      </rPr>
      <t xml:space="preserve"> Developper des programmes saisonniers d'assistance conditionnée</t>
    </r>
  </si>
  <si>
    <r>
      <rPr>
        <b/>
        <sz val="12"/>
        <rFont val="Calibri"/>
        <family val="2"/>
      </rPr>
      <t>Action 5.1.1.6 :</t>
    </r>
    <r>
      <rPr>
        <sz val="12"/>
        <rFont val="Calibri"/>
        <family val="2"/>
      </rPr>
      <t xml:space="preserve"> apporter une ration supplémentaire aux enfants des ménages  en insécurité alimentaire à travers les sociétés coopératives des cantines scolaires</t>
    </r>
  </si>
  <si>
    <r>
      <t>% d'</t>
    </r>
    <r>
      <rPr>
        <sz val="12"/>
        <rFont val="Calibri"/>
        <family val="2"/>
      </rPr>
      <t>élèves des ménages recevant une ration alimentaire à l'école</t>
    </r>
  </si>
  <si>
    <r>
      <rPr>
        <b/>
        <sz val="12"/>
        <rFont val="Calibri"/>
        <family val="2"/>
      </rPr>
      <t>Action 5.1.1.7 :</t>
    </r>
    <r>
      <rPr>
        <sz val="12"/>
        <rFont val="Calibri"/>
        <family val="2"/>
      </rPr>
      <t xml:space="preserve"> Créer/réhabiliter des cantines scolaires dans les zones d'insécurité alimentaire sévère</t>
    </r>
  </si>
  <si>
    <r>
      <t>Extrant 5.1.2</t>
    </r>
    <r>
      <rPr>
        <sz val="12"/>
        <rFont val="Calibri"/>
        <family val="2"/>
      </rPr>
      <t xml:space="preserve"> : l'autonomisation des groupes vulnérables est favorisée</t>
    </r>
  </si>
  <si>
    <r>
      <rPr>
        <b/>
        <sz val="12"/>
        <rFont val="Calibri"/>
        <family val="2"/>
      </rPr>
      <t>Action 5.1.2.1 :</t>
    </r>
    <r>
      <rPr>
        <sz val="12"/>
        <rFont val="Calibri"/>
        <family val="2"/>
      </rPr>
      <t xml:space="preserve"> Promouvoir les Activités Génératrices de Revenus  (AGR)</t>
    </r>
  </si>
  <si>
    <r>
      <rPr>
        <b/>
        <sz val="12"/>
        <rFont val="Calibri"/>
        <family val="2"/>
      </rPr>
      <t xml:space="preserve">Action 5.1.2.2 : </t>
    </r>
    <r>
      <rPr>
        <sz val="12"/>
        <rFont val="Calibri"/>
        <family val="2"/>
      </rPr>
      <t xml:space="preserve">Promouvoir l'alphabétisation des femmes  </t>
    </r>
  </si>
  <si>
    <r>
      <t>Effet 5.2</t>
    </r>
    <r>
      <rPr>
        <sz val="12"/>
        <rFont val="Calibri"/>
        <family val="2"/>
      </rPr>
      <t xml:space="preserve"> : Les ménages vulnérables ont leurs capacités renforcées face aux effets du changement climatique et autres chocs/ épidémies</t>
    </r>
  </si>
  <si>
    <r>
      <t>Extrant 5.2.1</t>
    </r>
    <r>
      <rPr>
        <sz val="12"/>
        <rFont val="Calibri"/>
        <family val="2"/>
      </rPr>
      <t xml:space="preserve"> : les dispositifs de suivi  de la situation nutritionnelle et d'interventions sont renforcés</t>
    </r>
  </si>
  <si>
    <r>
      <rPr>
        <b/>
        <sz val="12"/>
        <rFont val="Calibri"/>
        <family val="2"/>
      </rPr>
      <t>Action 5.2.1.1 :</t>
    </r>
    <r>
      <rPr>
        <sz val="12"/>
        <rFont val="Calibri"/>
        <family val="2"/>
      </rPr>
      <t xml:space="preserve"> Mettre en place un dispositif de préparation et de contingence multisectoriel </t>
    </r>
  </si>
  <si>
    <r>
      <rPr>
        <b/>
        <sz val="12"/>
        <rFont val="Calibri"/>
        <family val="2"/>
      </rPr>
      <t>Action 5.2.1.2 :</t>
    </r>
    <r>
      <rPr>
        <sz val="12"/>
        <rFont val="Calibri"/>
        <family val="2"/>
      </rPr>
      <t xml:space="preserve"> Renforcer le système de suivi de la sécurité alimentaire et nutritionnelle</t>
    </r>
  </si>
  <si>
    <r>
      <rPr>
        <b/>
        <sz val="12"/>
        <rFont val="Calibri"/>
        <family val="2"/>
      </rPr>
      <t xml:space="preserve">Action 5.2.1.3 </t>
    </r>
    <r>
      <rPr>
        <sz val="12"/>
        <rFont val="Calibri"/>
        <family val="2"/>
      </rPr>
      <t xml:space="preserve">: Mettre en place des réserves de sécurité alimentaire </t>
    </r>
  </si>
  <si>
    <r>
      <rPr>
        <b/>
        <sz val="12"/>
        <rFont val="Calibri"/>
        <family val="2"/>
      </rPr>
      <t>Action 5.2.1.4 :</t>
    </r>
    <r>
      <rPr>
        <sz val="12"/>
        <rFont val="Calibri"/>
        <family val="2"/>
      </rPr>
      <t xml:space="preserve"> Mettre en place des réseaux de stations météorologiques</t>
    </r>
  </si>
  <si>
    <r>
      <rPr>
        <b/>
        <sz val="12"/>
        <rFont val="Calibri"/>
        <family val="2"/>
      </rPr>
      <t>Action 5.2.1.5 :</t>
    </r>
    <r>
      <rPr>
        <sz val="12"/>
        <rFont val="Calibri"/>
        <family val="2"/>
      </rPr>
      <t xml:space="preserve"> Renforcer les capacités des structures pour la prise en charge des populations rendues vulnérables en cas d'épizootie</t>
    </r>
  </si>
  <si>
    <r>
      <t>Extrant 5.2.2</t>
    </r>
    <r>
      <rPr>
        <sz val="12"/>
        <rFont val="Calibri"/>
        <family val="2"/>
      </rPr>
      <t xml:space="preserve"> : les systèmes de production des ménages sont améliorés face aux effets du changement climatique et autres chocs/ épidémies</t>
    </r>
  </si>
  <si>
    <r>
      <rPr>
        <b/>
        <sz val="12"/>
        <rFont val="Calibri"/>
        <family val="2"/>
      </rPr>
      <t xml:space="preserve">Action 5.2.2.1 : </t>
    </r>
    <r>
      <rPr>
        <sz val="12"/>
        <rFont val="Calibri"/>
        <family val="2"/>
      </rPr>
      <t>Actualiser les calendriers culturaux par zone agro climatiques</t>
    </r>
  </si>
  <si>
    <r>
      <rPr>
        <b/>
        <sz val="12"/>
        <rFont val="Calibri"/>
        <family val="2"/>
      </rPr>
      <t xml:space="preserve">Action 5.2.2.2 : </t>
    </r>
    <r>
      <rPr>
        <sz val="12"/>
        <rFont val="Calibri"/>
        <family val="2"/>
      </rPr>
      <t>Mettre en place un dispositif de gestion intégrée de l'eau</t>
    </r>
  </si>
  <si>
    <r>
      <rPr>
        <b/>
        <sz val="12"/>
        <rFont val="Calibri"/>
        <family val="2"/>
      </rPr>
      <t xml:space="preserve"> Action 5.2.2.3 :</t>
    </r>
    <r>
      <rPr>
        <sz val="12"/>
        <rFont val="Calibri"/>
        <family val="2"/>
      </rPr>
      <t xml:space="preserve"> Aménager des terres pour les cultures intensives et de contre saison </t>
    </r>
  </si>
  <si>
    <r>
      <rPr>
        <b/>
        <sz val="12"/>
        <rFont val="Calibri"/>
        <family val="2"/>
      </rPr>
      <t>Action 5.2.2.4 :</t>
    </r>
    <r>
      <rPr>
        <sz val="12"/>
        <rFont val="Calibri"/>
        <family val="2"/>
      </rPr>
      <t xml:space="preserve"> Faciliter l’accès au petit matériel d’irrigation</t>
    </r>
  </si>
  <si>
    <r>
      <t>Effet 6.1</t>
    </r>
    <r>
      <rPr>
        <sz val="12"/>
        <rFont val="Calibri"/>
        <family val="2"/>
      </rPr>
      <t xml:space="preserve"> : Chaque ménage a accès à une source d’eau potable</t>
    </r>
  </si>
  <si>
    <r>
      <t>Extrant 6.1.1</t>
    </r>
    <r>
      <rPr>
        <sz val="12"/>
        <rFont val="Calibri"/>
        <family val="2"/>
      </rPr>
      <t xml:space="preserve"> : les infrastructures d'hydrauliques humaines sont construites, développées et fonctionnelles </t>
    </r>
  </si>
  <si>
    <r>
      <rPr>
        <b/>
        <sz val="12"/>
        <rFont val="Calibri"/>
        <family val="2"/>
      </rPr>
      <t xml:space="preserve">Action 6.1.1.1 </t>
    </r>
    <r>
      <rPr>
        <sz val="12"/>
        <rFont val="Calibri"/>
        <family val="2"/>
      </rPr>
      <t>: Accroître les capacités d’offre d’eau potable (réalisation de nouvelles installations d’hydraulique humaine)</t>
    </r>
  </si>
  <si>
    <r>
      <rPr>
        <b/>
        <sz val="12"/>
        <rFont val="Calibri"/>
        <family val="2"/>
      </rPr>
      <t>Action 6.1.1.2 :</t>
    </r>
    <r>
      <rPr>
        <sz val="12"/>
        <rFont val="Calibri"/>
        <family val="2"/>
      </rPr>
      <t xml:space="preserve"> Maintenir la continuité de service d’eau potable (par la réhabilitation des installations d’hydraulique humaine)</t>
    </r>
  </si>
  <si>
    <r>
      <rPr>
        <b/>
        <sz val="12"/>
        <rFont val="Calibri"/>
        <family val="2"/>
      </rPr>
      <t xml:space="preserve">Action 6.1.1.3 : </t>
    </r>
    <r>
      <rPr>
        <sz val="12"/>
        <rFont val="Calibri"/>
        <family val="2"/>
      </rPr>
      <t>Promouvoir toutes les technologies : camion citerne, poste d’eau pour alimenter  les centres déficitaires</t>
    </r>
  </si>
  <si>
    <r>
      <rPr>
        <b/>
        <sz val="12"/>
        <rFont val="Calibri"/>
        <family val="2"/>
      </rPr>
      <t>Action 6.1.1.4 :</t>
    </r>
    <r>
      <rPr>
        <sz val="12"/>
        <rFont val="Calibri"/>
        <family val="2"/>
      </rPr>
      <t xml:space="preserve"> Vulgariser la professionnalisation de la gestion des ouvrages d’hydraulique rurale</t>
    </r>
  </si>
  <si>
    <r>
      <t>Extrant 6.1.2</t>
    </r>
    <r>
      <rPr>
        <sz val="12"/>
        <rFont val="Calibri"/>
        <family val="2"/>
      </rPr>
      <t xml:space="preserve"> : l'utilisation de l'eau potable des ménages est facilitée</t>
    </r>
  </si>
  <si>
    <r>
      <rPr>
        <b/>
        <sz val="12"/>
        <rFont val="Calibri"/>
        <family val="2"/>
      </rPr>
      <t>Action 6.1.2.1 :</t>
    </r>
    <r>
      <rPr>
        <sz val="12"/>
        <rFont val="Calibri"/>
        <family val="2"/>
      </rPr>
      <t xml:space="preserve"> Améliorer  l’accès aux branchements subventionnés dans les régions à forte prévalence de malnutrition</t>
    </r>
  </si>
  <si>
    <r>
      <rPr>
        <b/>
        <sz val="12"/>
        <rFont val="Calibri"/>
        <family val="2"/>
      </rPr>
      <t>Action 6.1.2.3 :</t>
    </r>
    <r>
      <rPr>
        <sz val="12"/>
        <rFont val="Calibri"/>
        <family val="2"/>
      </rPr>
      <t xml:space="preserve"> Approvisionner les établissements scolaire en milieu rural en eau potable</t>
    </r>
  </si>
  <si>
    <r>
      <rPr>
        <b/>
        <sz val="12"/>
        <rFont val="Calibri"/>
        <family val="2"/>
      </rPr>
      <t>Action 6.1.2.4 :</t>
    </r>
    <r>
      <rPr>
        <sz val="12"/>
        <rFont val="Calibri"/>
        <family val="2"/>
      </rPr>
      <t xml:space="preserve"> Approvisionner les centres de santé en milieu rural en eau potable</t>
    </r>
  </si>
  <si>
    <r>
      <t>Effet 6.2</t>
    </r>
    <r>
      <rPr>
        <sz val="12"/>
        <rFont val="Calibri"/>
        <family val="2"/>
      </rPr>
      <t>: Chaque ménage a une hygiène améliorée et a accès à un système d’assainissement adéquat</t>
    </r>
  </si>
  <si>
    <t>Extrant 6.2.1 : les bonnes pratiques d'hygiène et d'assainissement sont promues</t>
  </si>
  <si>
    <r>
      <rPr>
        <b/>
        <sz val="12"/>
        <rFont val="Calibri"/>
        <family val="2"/>
      </rPr>
      <t xml:space="preserve">Action 6.2.1.1 : </t>
    </r>
    <r>
      <rPr>
        <sz val="12"/>
        <rFont val="Calibri"/>
        <family val="2"/>
      </rPr>
      <t>Promouvoir la construction et l'utilisation des latrines en milieu scolaire</t>
    </r>
  </si>
  <si>
    <r>
      <rPr>
        <b/>
        <sz val="12"/>
        <rFont val="Calibri"/>
        <family val="2"/>
      </rPr>
      <t xml:space="preserve">Action 6.2.1.2 : </t>
    </r>
    <r>
      <rPr>
        <sz val="12"/>
        <rFont val="Calibri"/>
        <family val="2"/>
      </rPr>
      <t>Promouvoir la construction et l'utilisation des latrines dans les centres de sante</t>
    </r>
  </si>
  <si>
    <r>
      <rPr>
        <b/>
        <sz val="12"/>
        <rFont val="Calibri"/>
        <family val="2"/>
      </rPr>
      <t xml:space="preserve">Action 6.2.1.3 : </t>
    </r>
    <r>
      <rPr>
        <sz val="12"/>
        <rFont val="Calibri"/>
        <family val="2"/>
      </rPr>
      <t>Promouvoir la construction et l'utilisation de lieu de lavage des mains avec le savon dans les écoles</t>
    </r>
  </si>
  <si>
    <r>
      <rPr>
        <b/>
        <sz val="12"/>
        <rFont val="Calibri"/>
        <family val="2"/>
      </rPr>
      <t xml:space="preserve">Action 6.2.1.4 : </t>
    </r>
    <r>
      <rPr>
        <sz val="12"/>
        <rFont val="Calibri"/>
        <family val="2"/>
      </rPr>
      <t>Promouvoir la construction et l'utilisation de lieu de lavage des mains avec le savon dans lescentres de santé</t>
    </r>
  </si>
  <si>
    <r>
      <rPr>
        <b/>
        <sz val="12"/>
        <rFont val="Calibri"/>
        <family val="2"/>
      </rPr>
      <t>Action 6.2.1.5</t>
    </r>
    <r>
      <rPr>
        <sz val="12"/>
        <rFont val="Calibri"/>
        <family val="2"/>
      </rPr>
      <t xml:space="preserve"> : Promouvoir le traitement de l'eau a domicile </t>
    </r>
  </si>
  <si>
    <r>
      <t>Extrant 6.2.2</t>
    </r>
    <r>
      <rPr>
        <sz val="12"/>
        <rFont val="Calibri"/>
        <family val="2"/>
      </rPr>
      <t xml:space="preserve"> : la gestion de la salubrité est participative et améliorée</t>
    </r>
  </si>
  <si>
    <r>
      <rPr>
        <b/>
        <sz val="12"/>
        <rFont val="Calibri"/>
        <family val="2"/>
      </rPr>
      <t>Action 6.2.2.1:</t>
    </r>
    <r>
      <rPr>
        <sz val="12"/>
        <rFont val="Calibri"/>
        <family val="2"/>
      </rPr>
      <t xml:space="preserve"> Promouvoir l'élimination adéquate des selles des enfants </t>
    </r>
  </si>
  <si>
    <r>
      <rPr>
        <b/>
        <sz val="12"/>
        <rFont val="Calibri"/>
        <family val="2"/>
      </rPr>
      <t>Action 6.2.2.2 :</t>
    </r>
    <r>
      <rPr>
        <sz val="12"/>
        <rFont val="Calibri"/>
        <family val="2"/>
      </rPr>
      <t xml:space="preserve"> Promouvoir le lavage des mains avec du savon aux moments critiques (après évacuation des selles, utilisation des toilettes, avant de faire la cuisine)</t>
    </r>
  </si>
  <si>
    <r>
      <rPr>
        <b/>
        <sz val="12"/>
        <rFont val="Calibri"/>
        <family val="2"/>
      </rPr>
      <t>Action 6.2.2.3 :</t>
    </r>
    <r>
      <rPr>
        <sz val="12"/>
        <rFont val="Calibri"/>
        <family val="2"/>
      </rPr>
      <t xml:space="preserve"> Promouvoir l'approche Assainissement Total Piloté par la Communauté (ATPC)</t>
    </r>
  </si>
  <si>
    <r>
      <rPr>
        <b/>
        <sz val="12"/>
        <rFont val="Calibri"/>
        <family val="2"/>
      </rPr>
      <t>Action 6.2.2.4 :</t>
    </r>
    <r>
      <rPr>
        <sz val="12"/>
        <rFont val="Calibri"/>
        <family val="2"/>
      </rPr>
      <t xml:space="preserve"> Promouvoir au sein des ménages</t>
    </r>
    <r>
      <rPr>
        <b/>
        <sz val="12"/>
        <rFont val="Calibri"/>
        <family val="2"/>
      </rPr>
      <t xml:space="preserve"> l' é</t>
    </r>
    <r>
      <rPr>
        <sz val="12"/>
        <rFont val="Calibri"/>
        <family val="2"/>
      </rPr>
      <t>limination des eaux usées,  et ordures.</t>
    </r>
  </si>
  <si>
    <r>
      <t>Effet 7.1</t>
    </r>
    <r>
      <rPr>
        <sz val="12"/>
        <rFont val="Calibri"/>
        <family val="2"/>
      </rPr>
      <t xml:space="preserve"> : La collaboration et la coordination intra et intersectorielle sont renforcées</t>
    </r>
  </si>
  <si>
    <r>
      <t>Extrant 7.1.1</t>
    </r>
    <r>
      <rPr>
        <sz val="12"/>
        <rFont val="Calibri"/>
        <family val="2"/>
      </rPr>
      <t xml:space="preserve"> : le Conseil National de Nutrition (CNN) est fonctionnel</t>
    </r>
  </si>
  <si>
    <r>
      <rPr>
        <b/>
        <sz val="12"/>
        <rFont val="Calibri"/>
        <family val="2"/>
      </rPr>
      <t>Action 7.1.1.1:</t>
    </r>
    <r>
      <rPr>
        <sz val="12"/>
        <rFont val="Calibri"/>
        <family val="2"/>
      </rPr>
      <t xml:space="preserve">  Rendre fonctionnel le Comité Décisionnel </t>
    </r>
  </si>
  <si>
    <r>
      <rPr>
        <b/>
        <sz val="12"/>
        <rFont val="Calibri"/>
        <family val="2"/>
      </rPr>
      <t>Action 7.1.1.2</t>
    </r>
    <r>
      <rPr>
        <sz val="12"/>
        <rFont val="Calibri"/>
        <family val="2"/>
      </rPr>
      <t xml:space="preserve"> : Rendre fonctionnel le Comité Technique </t>
    </r>
  </si>
  <si>
    <r>
      <rPr>
        <b/>
        <sz val="12"/>
        <rFont val="Calibri"/>
        <family val="2"/>
      </rPr>
      <t xml:space="preserve">Action 7.1.1.3 </t>
    </r>
    <r>
      <rPr>
        <sz val="12"/>
        <rFont val="Calibri"/>
        <family val="2"/>
      </rPr>
      <t xml:space="preserve">: Rendre fonctionnel le Secrétariat Technique Permanent </t>
    </r>
  </si>
  <si>
    <r>
      <rPr>
        <b/>
        <sz val="12"/>
        <rFont val="Calibri"/>
        <family val="2"/>
      </rPr>
      <t>Action 7.1.1.4:</t>
    </r>
    <r>
      <rPr>
        <sz val="12"/>
        <rFont val="Calibri"/>
        <family val="2"/>
      </rPr>
      <t xml:space="preserve"> Rendre fonctionnel les Comités Régionaux, les Comités Départementaux et les Comités Communaux Multisectoriels pour la Nutrition (CRN)</t>
    </r>
  </si>
  <si>
    <r>
      <rPr>
        <b/>
        <sz val="12"/>
        <rFont val="Calibri"/>
        <family val="2"/>
      </rPr>
      <t>Action 7.1.1.5 :</t>
    </r>
    <r>
      <rPr>
        <sz val="12"/>
        <rFont val="Calibri"/>
        <family val="2"/>
      </rPr>
      <t xml:space="preserve"> Elaborer et mettre en œuvre un plan de travail annuel (PTA) par niveau</t>
    </r>
  </si>
  <si>
    <r>
      <rPr>
        <b/>
        <sz val="12"/>
        <rFont val="Calibri"/>
        <family val="2"/>
      </rPr>
      <t xml:space="preserve">Action 7.1.1.6 : </t>
    </r>
    <r>
      <rPr>
        <sz val="12"/>
        <rFont val="Calibri"/>
        <family val="2"/>
      </rPr>
      <t>Elaborer une stratégie de mise en œuvre du Plan Stratégique Multisectoriel de Nutrition</t>
    </r>
  </si>
  <si>
    <r>
      <t xml:space="preserve">Extrant 7.1.2 : </t>
    </r>
    <r>
      <rPr>
        <sz val="12"/>
        <rFont val="Calibri"/>
        <family val="2"/>
      </rPr>
      <t>les capacités des acteurs institutionnels impliqués dans la nutrition sont renforcées</t>
    </r>
  </si>
  <si>
    <r>
      <rPr>
        <b/>
        <sz val="12"/>
        <rFont val="Calibri"/>
        <family val="2"/>
      </rPr>
      <t>Action 7.1.2.1 :</t>
    </r>
    <r>
      <rPr>
        <sz val="12"/>
        <rFont val="Calibri"/>
        <family val="2"/>
      </rPr>
      <t xml:space="preserve"> Développer les outils de gestion du CNN</t>
    </r>
  </si>
  <si>
    <r>
      <rPr>
        <b/>
        <sz val="12"/>
        <rFont val="Calibri"/>
        <family val="2"/>
      </rPr>
      <t>Action 7.1.2.2 :</t>
    </r>
    <r>
      <rPr>
        <sz val="12"/>
        <rFont val="Calibri"/>
        <family val="2"/>
      </rPr>
      <t xml:space="preserve"> Renforcer les capacités du Point Focal, des membres du Comité Technique et du Secrétariat Technique Permanent</t>
    </r>
  </si>
  <si>
    <r>
      <rPr>
        <b/>
        <sz val="12"/>
        <rFont val="Calibri"/>
        <family val="2"/>
      </rPr>
      <t>Action 7.1.2.3 :</t>
    </r>
    <r>
      <rPr>
        <sz val="12"/>
        <rFont val="Calibri"/>
        <family val="2"/>
      </rPr>
      <t xml:space="preserve"> Renforcer les capacités de tous les membres des comités déconcentrés (régionaux, départementaux, communaux/sous-préfectoraux)</t>
    </r>
  </si>
  <si>
    <r>
      <t xml:space="preserve">Effet 7.2: </t>
    </r>
    <r>
      <rPr>
        <sz val="12"/>
        <rFont val="Calibri"/>
        <family val="2"/>
      </rPr>
      <t>Le plaidoyer pour la nutrition est renforcé à tous les niveaux</t>
    </r>
    <r>
      <rPr>
        <b/>
        <sz val="12"/>
        <rFont val="Calibri"/>
        <family val="2"/>
      </rPr>
      <t xml:space="preserve">
</t>
    </r>
  </si>
  <si>
    <r>
      <t xml:space="preserve">Extrant 7.2.1 : </t>
    </r>
    <r>
      <rPr>
        <sz val="12"/>
        <rFont val="Calibri"/>
        <family val="2"/>
      </rPr>
      <t>Le positionnement de la nutrition au niveau des politiques et programmes nationaux et locaux est amélioré</t>
    </r>
    <r>
      <rPr>
        <b/>
        <sz val="12"/>
        <rFont val="Calibri"/>
        <family val="2"/>
      </rPr>
      <t xml:space="preserve">
</t>
    </r>
  </si>
  <si>
    <r>
      <rPr>
        <b/>
        <sz val="12"/>
        <rFont val="Calibri"/>
        <family val="2"/>
      </rPr>
      <t>Action 7.2.1.2 :</t>
    </r>
    <r>
      <rPr>
        <sz val="12"/>
        <rFont val="Calibri"/>
        <family val="2"/>
      </rPr>
      <t xml:space="preserve"> Evaluer le coût de la nutrition</t>
    </r>
  </si>
  <si>
    <r>
      <rPr>
        <b/>
        <sz val="12"/>
        <rFont val="Calibri"/>
        <family val="2"/>
      </rPr>
      <t>Action 7.2.1.3 :</t>
    </r>
    <r>
      <rPr>
        <sz val="12"/>
        <rFont val="Calibri"/>
        <family val="2"/>
      </rPr>
      <t>Former les planificateurs des entités sectorielles et des collectivités décentralisées à l'intégration des objectifs de  nutrition aux plans, programmes, et stratégies au niveau national, sectoriel, régional, et local</t>
    </r>
  </si>
  <si>
    <r>
      <rPr>
        <b/>
        <sz val="12"/>
        <rFont val="Calibri"/>
        <family val="2"/>
      </rPr>
      <t>Action 7.2.1.4 :</t>
    </r>
    <r>
      <rPr>
        <sz val="12"/>
        <rFont val="Calibri"/>
        <family val="2"/>
      </rPr>
      <t xml:space="preserve"> Inscrire le droit à l'alimentation et à la nutrition dans la constitution</t>
    </r>
  </si>
  <si>
    <r>
      <rPr>
        <b/>
        <sz val="12"/>
        <rFont val="Calibri"/>
        <family val="2"/>
      </rPr>
      <t>Action 7.2.1.5</t>
    </r>
    <r>
      <rPr>
        <sz val="12"/>
        <rFont val="Calibri"/>
        <family val="2"/>
      </rPr>
      <t>: Soumettre au Conseil des Ministres des communications trimestrielles sur l'état de la nutrition</t>
    </r>
  </si>
  <si>
    <r>
      <rPr>
        <b/>
        <sz val="12"/>
        <rFont val="Calibri"/>
        <family val="2"/>
      </rPr>
      <t xml:space="preserve">Action 7.2.1.6 : </t>
    </r>
    <r>
      <rPr>
        <sz val="12"/>
        <rFont val="Calibri"/>
        <family val="2"/>
      </rPr>
      <t>Promouvoir le droit à l'alimentation et à la nutrition auprès des décideurs politiques</t>
    </r>
  </si>
  <si>
    <r>
      <t>Extrant 7.2.2</t>
    </r>
    <r>
      <rPr>
        <sz val="12"/>
        <rFont val="Calibri"/>
        <family val="2"/>
      </rPr>
      <t xml:space="preserve"> : les dispositions légales favorables à la bonne alimentation du nourrisson pour les femmes dans le milieu du travail sont renforcées</t>
    </r>
  </si>
  <si>
    <r>
      <rPr>
        <b/>
        <sz val="12"/>
        <rFont val="Calibri"/>
        <family val="2"/>
      </rPr>
      <t>Action 7.2.2.1</t>
    </r>
    <r>
      <rPr>
        <sz val="12"/>
        <rFont val="Calibri"/>
        <family val="2"/>
      </rPr>
      <t xml:space="preserve"> Elaborer la politique et le plan stratégique de l'allaitement</t>
    </r>
  </si>
  <si>
    <r>
      <rPr>
        <b/>
        <sz val="12"/>
        <rFont val="Calibri"/>
        <family val="2"/>
      </rPr>
      <t xml:space="preserve">Action 7.2.2.1 : </t>
    </r>
    <r>
      <rPr>
        <sz val="12"/>
        <rFont val="Calibri"/>
        <family val="2"/>
      </rPr>
      <t>Plaidoyer auprès des députés pour la révision des dispositifs du code du travail en faveur de l'allaitement</t>
    </r>
  </si>
  <si>
    <r>
      <rPr>
        <sz val="12"/>
        <rFont val="Calibri"/>
        <family val="2"/>
      </rPr>
      <t>Réaliser un  plaidoyer auprès des députés pour la révision des dispositifs du code du travail pour l'extension à 6 mois du congé de maternité après l'accouchement</t>
    </r>
  </si>
  <si>
    <r>
      <rPr>
        <b/>
        <sz val="12"/>
        <rFont val="Calibri"/>
        <family val="2"/>
      </rPr>
      <t>Action 7.2.2.2 :</t>
    </r>
    <r>
      <rPr>
        <sz val="12"/>
        <rFont val="Calibri"/>
        <family val="2"/>
      </rPr>
      <t xml:space="preserve"> Plaidoyer pour la création d'un environnement propice à l'allaitement maternel dans le milieu du travail</t>
    </r>
  </si>
  <si>
    <r>
      <rPr>
        <b/>
        <sz val="12"/>
        <rFont val="Calibri"/>
        <family val="2"/>
      </rPr>
      <t>Action 7.2.2.3 :</t>
    </r>
    <r>
      <rPr>
        <sz val="12"/>
        <rFont val="Calibri"/>
        <family val="2"/>
      </rPr>
      <t xml:space="preserve"> Mettre en place un cadre réglementaire de mise en œuvre du Code de commercialisation des Substituts du Lait Maternel</t>
    </r>
  </si>
  <si>
    <r>
      <t>Extrant 7.2.3</t>
    </r>
    <r>
      <rPr>
        <sz val="12"/>
        <rFont val="Calibri"/>
        <family val="2"/>
      </rPr>
      <t xml:space="preserve"> : la mobilisation des ressources pour la mise à échelle de nutrition est assurée </t>
    </r>
  </si>
  <si>
    <r>
      <rPr>
        <b/>
        <sz val="12"/>
        <rFont val="Calibri"/>
        <family val="2"/>
      </rPr>
      <t>Action 7.2.3.1 :</t>
    </r>
    <r>
      <rPr>
        <sz val="12"/>
        <rFont val="Calibri"/>
        <family val="2"/>
      </rPr>
      <t xml:space="preserve"> Plaidoyer auprès des partenaires  pour le soutien à la mise en œuvre du Plan Stratégique Multisectoriel de Nutrition </t>
    </r>
  </si>
  <si>
    <r>
      <rPr>
        <b/>
        <sz val="12"/>
        <rFont val="Calibri"/>
        <family val="2"/>
      </rPr>
      <t>Action 7.2.3.2 :</t>
    </r>
    <r>
      <rPr>
        <sz val="12"/>
        <rFont val="Calibri"/>
        <family val="2"/>
      </rPr>
      <t xml:space="preserve"> Suivre la mobilisation des ressources auprès des Partenaires techniques et financiers</t>
    </r>
  </si>
  <si>
    <r>
      <rPr>
        <b/>
        <sz val="12"/>
        <rFont val="Calibri"/>
        <family val="2"/>
      </rPr>
      <t>Effet 7.3 :</t>
    </r>
    <r>
      <rPr>
        <sz val="12"/>
        <rFont val="Calibri"/>
        <family val="2"/>
      </rPr>
      <t xml:space="preserve"> Les programmes de formation initiale sont renforcés en matière de nutrition</t>
    </r>
  </si>
  <si>
    <r>
      <rPr>
        <b/>
        <sz val="12"/>
        <rFont val="Calibri"/>
        <family val="2"/>
      </rPr>
      <t>Extrant 7.3.1</t>
    </r>
    <r>
      <rPr>
        <sz val="12"/>
        <rFont val="Calibri"/>
        <family val="2"/>
      </rPr>
      <t xml:space="preserve"> : les curicula de formation sont renforcés</t>
    </r>
  </si>
  <si>
    <r>
      <rPr>
        <b/>
        <sz val="12"/>
        <rFont val="Calibri"/>
        <family val="2"/>
      </rPr>
      <t xml:space="preserve">Action 7.3.1.1 : </t>
    </r>
    <r>
      <rPr>
        <sz val="12"/>
        <rFont val="Calibri"/>
        <family val="2"/>
      </rPr>
      <t>Intégrer/Réviser les modules de nutrition dans les curricula de formation initiale des agents de santé (IDE/SFDE), des enseignants, des travailleurs sociaux et des encadreurs agricoles</t>
    </r>
  </si>
  <si>
    <r>
      <rPr>
        <b/>
        <sz val="12"/>
        <rFont val="Calibri"/>
        <family val="2"/>
      </rPr>
      <t>Action 7.3.1.2 :</t>
    </r>
    <r>
      <rPr>
        <sz val="12"/>
        <rFont val="Calibri"/>
        <family val="2"/>
      </rPr>
      <t xml:space="preserve"> Reviser les curricula de formation initiale des nutritionnistes</t>
    </r>
  </si>
  <si>
    <r>
      <t xml:space="preserve">Extrant 7.3.2 </t>
    </r>
    <r>
      <rPr>
        <sz val="12"/>
        <rFont val="Calibri"/>
        <family val="2"/>
      </rPr>
      <t>Les ressources humaines qualifiées sont disponibles à tous les niveaux</t>
    </r>
  </si>
  <si>
    <r>
      <rPr>
        <b/>
        <sz val="12"/>
        <rFont val="Calibri"/>
        <family val="2"/>
      </rPr>
      <t>Action 7.3.1.3 :</t>
    </r>
    <r>
      <rPr>
        <sz val="12"/>
        <rFont val="Calibri"/>
        <family val="2"/>
      </rPr>
      <t xml:space="preserve"> Ouvrir le recrutement à la Fonction Publique des nutritionnistes </t>
    </r>
  </si>
  <si>
    <r>
      <t>Effet 7.4</t>
    </r>
    <r>
      <rPr>
        <sz val="12"/>
        <rFont val="Calibri"/>
        <family val="2"/>
      </rPr>
      <t xml:space="preserve"> : La recherche fondamentale et opérationnelle est renforcée</t>
    </r>
  </si>
  <si>
    <r>
      <t>Extrant 7.4.1</t>
    </r>
    <r>
      <rPr>
        <sz val="12"/>
        <rFont val="Calibri"/>
        <family val="2"/>
      </rPr>
      <t xml:space="preserve"> : Les capacités des institutions de recherche sont renforcées</t>
    </r>
  </si>
  <si>
    <r>
      <rPr>
        <b/>
        <sz val="12"/>
        <rFont val="Calibri"/>
        <family val="2"/>
      </rPr>
      <t xml:space="preserve">Action 7.4.1.1: </t>
    </r>
    <r>
      <rPr>
        <sz val="12"/>
        <rFont val="Calibri"/>
        <family val="2"/>
      </rPr>
      <t>mettre en place un comité national de validation des sujets et des résultas de la recherche</t>
    </r>
  </si>
  <si>
    <r>
      <rPr>
        <b/>
        <sz val="12"/>
        <rFont val="Calibri"/>
        <family val="2"/>
      </rPr>
      <t xml:space="preserve">Action 7.4.1.2 : </t>
    </r>
    <r>
      <rPr>
        <sz val="12"/>
        <rFont val="Calibri"/>
        <family val="2"/>
      </rPr>
      <t>Renforcer les capacités des laboratoires de recherche en nutrition</t>
    </r>
  </si>
  <si>
    <r>
      <rPr>
        <b/>
        <sz val="12"/>
        <rFont val="Calibri"/>
        <family val="2"/>
      </rPr>
      <t>Action 7.4.1.3 :</t>
    </r>
    <r>
      <rPr>
        <sz val="12"/>
        <rFont val="Calibri"/>
        <family val="2"/>
      </rPr>
      <t xml:space="preserve"> soutenir la formation Renforcer les capacités en recherche opérationnelle  des secteurs et institutions impliqués dans la mise en œuvre du Plan Stratégique Multisectoriel de Nutrition </t>
    </r>
  </si>
  <si>
    <r>
      <rPr>
        <b/>
        <sz val="12"/>
        <rFont val="Calibri"/>
        <family val="2"/>
      </rPr>
      <t>Action 7.4.1.4 :</t>
    </r>
    <r>
      <rPr>
        <sz val="12"/>
        <rFont val="Calibri"/>
        <family val="2"/>
      </rPr>
      <t xml:space="preserve"> Renforcer les capacités des acteurs clefs en recherche fondamentale sur la nutrition</t>
    </r>
  </si>
  <si>
    <r>
      <t>Extrant 7.4.2</t>
    </r>
    <r>
      <rPr>
        <sz val="12"/>
        <rFont val="Calibri"/>
        <family val="2"/>
      </rPr>
      <t xml:space="preserve"> : Les connaissances sur la nutrition sont renforcées</t>
    </r>
  </si>
  <si>
    <r>
      <rPr>
        <b/>
        <sz val="12"/>
        <rFont val="Calibri"/>
        <family val="2"/>
      </rPr>
      <t>Action 7.4.2.1 :</t>
    </r>
    <r>
      <rPr>
        <sz val="12"/>
        <rFont val="Calibri"/>
        <family val="2"/>
      </rPr>
      <t xml:space="preserve"> Développer des partenariat au niveau régional et international avec des instituts d'excellence de formation et de recherche en nutrition</t>
    </r>
  </si>
  <si>
    <r>
      <rPr>
        <b/>
        <sz val="12"/>
        <rFont val="Calibri"/>
        <family val="2"/>
      </rPr>
      <t>Action 7.4.2.2 :</t>
    </r>
    <r>
      <rPr>
        <sz val="12"/>
        <rFont val="Calibri"/>
        <family val="2"/>
      </rPr>
      <t xml:space="preserve"> Mettre en place un comité de sélection et de validation des besoins et résultats de recherche  en matière de nutrition</t>
    </r>
  </si>
  <si>
    <r>
      <t>Effet 7.5</t>
    </r>
    <r>
      <rPr>
        <sz val="12"/>
        <rFont val="Calibri"/>
        <family val="2"/>
      </rPr>
      <t xml:space="preserve"> : Un système de suivi et évaluation est disponible à tous les niveaux</t>
    </r>
  </si>
  <si>
    <r>
      <t>Extrant 7.5.1</t>
    </r>
    <r>
      <rPr>
        <sz val="12"/>
        <rFont val="Calibri"/>
        <family val="2"/>
      </rPr>
      <t xml:space="preserve"> :  le dispositif intégré de suivi et évaluation est fonctionnel</t>
    </r>
  </si>
  <si>
    <r>
      <t xml:space="preserve">Action 7.5.1.1 : </t>
    </r>
    <r>
      <rPr>
        <sz val="12"/>
        <rFont val="Calibri"/>
        <family val="2"/>
      </rPr>
      <t xml:space="preserve">Mettre en place une base de données commune centralisée au niveau du secrétariat technique permanent </t>
    </r>
  </si>
  <si>
    <r>
      <rPr>
        <b/>
        <sz val="12"/>
        <rFont val="Calibri"/>
        <family val="2"/>
      </rPr>
      <t>Action 7.5.1.2 :</t>
    </r>
    <r>
      <rPr>
        <sz val="12"/>
        <rFont val="Calibri"/>
        <family val="2"/>
      </rPr>
      <t xml:space="preserve"> Réaliser des enquêtes ponctuelles d'information sur la nutrition (EDS, SMART, EASA, agricole, VAMU, micronutriments…) à mettre dans le suivi</t>
    </r>
  </si>
  <si>
    <r>
      <rPr>
        <b/>
        <sz val="12"/>
        <rFont val="Calibri"/>
        <family val="2"/>
      </rPr>
      <t>Action 7.5.1.3 :</t>
    </r>
    <r>
      <rPr>
        <sz val="12"/>
        <rFont val="Calibri"/>
        <family val="2"/>
      </rPr>
      <t xml:space="preserve"> Organiser des revues semestrielles au niveau régional</t>
    </r>
  </si>
  <si>
    <r>
      <rPr>
        <b/>
        <sz val="12"/>
        <rFont val="Calibri"/>
        <family val="2"/>
      </rPr>
      <t>Action 7.5.1.4 :</t>
    </r>
    <r>
      <rPr>
        <sz val="12"/>
        <rFont val="Calibri"/>
        <family val="2"/>
      </rPr>
      <t xml:space="preserve"> Organiser des revues annuelles au niveau central</t>
    </r>
  </si>
  <si>
    <r>
      <rPr>
        <b/>
        <sz val="12"/>
        <rFont val="Calibri"/>
        <family val="2"/>
      </rPr>
      <t xml:space="preserve">Action 7.5.1.5 : </t>
    </r>
    <r>
      <rPr>
        <sz val="12"/>
        <rFont val="Calibri"/>
        <family val="2"/>
      </rPr>
      <t>Organiser des missions conjointes multisectorielles de suivi</t>
    </r>
  </si>
  <si>
    <r>
      <rPr>
        <b/>
        <sz val="12"/>
        <rFont val="Calibri"/>
        <family val="2"/>
      </rPr>
      <t>Action 7.5.1.6 :</t>
    </r>
    <r>
      <rPr>
        <sz val="12"/>
        <rFont val="Calibri"/>
        <family val="2"/>
      </rPr>
      <t xml:space="preserve"> Mettre en place un système de suivi multisectoriel du financement de la nutrition</t>
    </r>
  </si>
  <si>
    <r>
      <rPr>
        <b/>
        <sz val="12"/>
        <rFont val="Calibri"/>
        <family val="2"/>
      </rPr>
      <t>Action 7.5.1.7:</t>
    </r>
    <r>
      <rPr>
        <sz val="12"/>
        <rFont val="Calibri"/>
        <family val="2"/>
      </rPr>
      <t xml:space="preserve"> Evaluer le plan strategique Multisectoriel de nutrition a mi-parcours et en fin d'execution </t>
    </r>
  </si>
  <si>
    <r>
      <t>Extrant 7.5.2 :</t>
    </r>
    <r>
      <rPr>
        <sz val="12"/>
        <rFont val="Calibri"/>
        <family val="2"/>
      </rPr>
      <t xml:space="preserve"> les capacités sectorielles de suivi évaluation de la nutrition sont renforcées</t>
    </r>
  </si>
  <si>
    <r>
      <rPr>
        <b/>
        <sz val="12"/>
        <rFont val="Calibri"/>
        <family val="2"/>
      </rPr>
      <t>Action 7.5.2.1 :</t>
    </r>
    <r>
      <rPr>
        <sz val="12"/>
        <rFont val="Calibri"/>
        <family val="2"/>
      </rPr>
      <t xml:space="preserve"> Renforcer les capacités de toutes les parties prenantes en suivi et évaluation pour le remplissage de la base de données multisectorielles</t>
    </r>
  </si>
  <si>
    <r>
      <rPr>
        <b/>
        <sz val="12"/>
        <rFont val="Calibri"/>
        <family val="2"/>
      </rPr>
      <t>Action 7.5.2.2 :</t>
    </r>
    <r>
      <rPr>
        <sz val="12"/>
        <rFont val="Calibri"/>
        <family val="2"/>
      </rPr>
      <t xml:space="preserve"> Utiliser les TIC dans les activités de collecte de l'information et de sensibilisation sur la nutrition</t>
    </r>
  </si>
  <si>
    <r>
      <rPr>
        <b/>
        <sz val="12"/>
        <rFont val="Calibri"/>
        <family val="2"/>
      </rPr>
      <t>Action 7.5.2.3 :</t>
    </r>
    <r>
      <rPr>
        <sz val="12"/>
        <rFont val="Calibri"/>
        <family val="2"/>
      </rPr>
      <t xml:space="preserve"> Mettre en place un portail internet de nutrition</t>
    </r>
  </si>
  <si>
    <r>
      <t>Effet 7.6</t>
    </r>
    <r>
      <rPr>
        <sz val="12"/>
        <rFont val="Calibri"/>
        <family val="2"/>
      </rPr>
      <t xml:space="preserve"> : Un cadre législatif et règlementaire est mis en place</t>
    </r>
  </si>
  <si>
    <r>
      <t>Extrant 7.6.1</t>
    </r>
    <r>
      <rPr>
        <sz val="12"/>
        <rFont val="Calibri"/>
        <family val="2"/>
      </rPr>
      <t xml:space="preserve"> : la règlementation en faveur de la qualité des produits alimentaires est promue </t>
    </r>
  </si>
  <si>
    <r>
      <rPr>
        <b/>
        <sz val="12"/>
        <rFont val="Calibri"/>
        <family val="2"/>
      </rPr>
      <t xml:space="preserve">Action 7.6.1.1 : </t>
    </r>
    <r>
      <rPr>
        <sz val="12"/>
        <rFont val="Calibri"/>
        <family val="2"/>
      </rPr>
      <t>Renforcer le cadre réglementaire en matière de sécurité sanitaire des aliments</t>
    </r>
  </si>
  <si>
    <r>
      <rPr>
        <b/>
        <sz val="12"/>
        <rFont val="Calibri"/>
        <family val="2"/>
      </rPr>
      <t>Action 7.6.1.2 :</t>
    </r>
    <r>
      <rPr>
        <sz val="12"/>
        <rFont val="Calibri"/>
        <family val="2"/>
      </rPr>
      <t xml:space="preserve"> Harmoniser les normes nationales  sur les produits alimentaires en se basant sur le Codex Alimentarius</t>
    </r>
  </si>
  <si>
    <r>
      <rPr>
        <b/>
        <sz val="12"/>
        <rFont val="Calibri"/>
        <family val="2"/>
      </rPr>
      <t xml:space="preserve">Action 7.6.1.3 : </t>
    </r>
    <r>
      <rPr>
        <sz val="12"/>
        <rFont val="Calibri"/>
        <family val="2"/>
      </rPr>
      <t xml:space="preserve">Renforcer la législation en matière de fortification et bio fortification </t>
    </r>
  </si>
  <si>
    <r>
      <t>Vulgariser l</t>
    </r>
    <r>
      <rPr>
        <sz val="12"/>
        <rFont val="Calibri"/>
        <family val="2"/>
      </rPr>
      <t>es textes règlementaires sur les aliments enrichis</t>
    </r>
  </si>
  <si>
    <r>
      <rPr>
        <b/>
        <sz val="12"/>
        <rFont val="Calibri"/>
        <family val="2"/>
      </rPr>
      <t>Action 7.6.1.4 :</t>
    </r>
    <r>
      <rPr>
        <sz val="12"/>
        <rFont val="Calibri"/>
        <family val="2"/>
      </rPr>
      <t xml:space="preserve"> Renforcer le respect des réglementations/normes nationales sur les  aliments enrichis locaux ou importées</t>
    </r>
  </si>
  <si>
    <r>
      <rPr>
        <b/>
        <sz val="12"/>
        <rFont val="Calibri"/>
        <family val="2"/>
      </rPr>
      <t>Action 7.6.1.5 :</t>
    </r>
    <r>
      <rPr>
        <sz val="12"/>
        <rFont val="Calibri"/>
        <family val="2"/>
      </rPr>
      <t xml:space="preserve"> Créer un Fonds national de nutrition alimenté par les prélèvements sur les produits alimentaires importés ayant un effet néfaste sur la nutrition (sucre, sel, conservateurs…)</t>
    </r>
  </si>
  <si>
    <r>
      <rPr>
        <b/>
        <sz val="12"/>
        <rFont val="Calibri"/>
        <family val="2"/>
      </rPr>
      <t xml:space="preserve">Action 7.6.1.6 </t>
    </r>
    <r>
      <rPr>
        <sz val="12"/>
        <rFont val="Calibri"/>
        <family val="2"/>
      </rPr>
      <t>: Mettre en place un cadre réglementaire de développement des cultures bio fortifiées</t>
    </r>
  </si>
  <si>
    <r>
      <t>Extrant 7.6.2</t>
    </r>
    <r>
      <rPr>
        <sz val="12"/>
        <rFont val="Calibri"/>
        <family val="2"/>
      </rPr>
      <t xml:space="preserve"> : la règlementation sur la commercialisation des denrées alimentaires est renforcée</t>
    </r>
  </si>
  <si>
    <r>
      <rPr>
        <b/>
        <sz val="12"/>
        <rFont val="Calibri"/>
        <family val="2"/>
      </rPr>
      <t>Action 7.6.2.1 :</t>
    </r>
    <r>
      <rPr>
        <sz val="12"/>
        <rFont val="Calibri"/>
        <family val="2"/>
      </rPr>
      <t xml:space="preserve"> Faire une revue de la réglementation sur la commercialisation des aliments vendus sur les voies publiques et proposer les besoins de renforcement</t>
    </r>
  </si>
  <si>
    <r>
      <rPr>
        <b/>
        <sz val="12"/>
        <rFont val="Calibri"/>
        <family val="2"/>
      </rPr>
      <t xml:space="preserve">Action 3.1.1.5 : </t>
    </r>
    <r>
      <rPr>
        <sz val="12"/>
        <rFont val="Calibri"/>
        <family val="2"/>
      </rPr>
      <t>Promouvoir les bonnes techniques de cultures et d'elevages</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</si>
</sst>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CFA&quot;;\-#,##0\ &quot;CFA&quot;"/>
    <numFmt numFmtId="165" formatCode="#,##0\ &quot;CFA&quot;;[Red]\-#,##0\ &quot;CFA&quot;"/>
    <numFmt numFmtId="166" formatCode="#,##0.00\ &quot;CFA&quot;;\-#,##0.00\ &quot;CFA&quot;"/>
    <numFmt numFmtId="167" formatCode="#,##0.00\ &quot;CFA&quot;;[Red]\-#,##0.00\ &quot;CFA&quot;"/>
    <numFmt numFmtId="168" formatCode="_-* #,##0\ &quot;CFA&quot;_-;\-* #,##0\ &quot;CFA&quot;_-;_-* &quot;-&quot;\ &quot;CFA&quot;_-;_-@_-"/>
    <numFmt numFmtId="169" formatCode="_-* #,##0\ _C_F_A_-;\-* #,##0\ _C_F_A_-;_-* &quot;-&quot;\ _C_F_A_-;_-@_-"/>
    <numFmt numFmtId="170" formatCode="_-* #,##0.00\ &quot;CFA&quot;_-;\-* #,##0.00\ &quot;CFA&quot;_-;_-* &quot;-&quot;??\ &quot;CFA&quot;_-;_-@_-"/>
    <numFmt numFmtId="171" formatCode="_-* #,##0.00\ _C_F_A_-;\-* #,##0.00\ _C_F_A_-;_-* &quot;-&quot;??\ _C_F_A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_(&quot;$&quot;* #,##0_);_(&quot;$&quot;* \(#,##0\);_(&quot;$&quot;* &quot;-&quot;_);_(@_)"/>
    <numFmt numFmtId="181" formatCode="_(&quot;$&quot;* #,##0.00_);_(&quot;$&quot;* \(#,##0.00\);_(&quot;$&quot;* &quot;-&quot;??_);_(@_)"/>
    <numFmt numFmtId="182" formatCode="_(* #,##0.00_);_(* \(#,##0.00\);_(* &quot;-&quot;??_);_(@_)"/>
    <numFmt numFmtId="183" formatCode="_(* #,##0_);_(* \(#,##0\);_(* &quot;-&quot;??_);_(@_)"/>
    <numFmt numFmtId="184" formatCode="0.0%"/>
    <numFmt numFmtId="185" formatCode="_(* #,##0.0_);_(* \(#,##0.0\);_(* &quot;-&quot;??_);_(@_)"/>
    <numFmt numFmtId="186" formatCode="[$-40C]dddd\ d\ mmmm\ yyyy"/>
    <numFmt numFmtId="187" formatCode="0.0"/>
    <numFmt numFmtId="188" formatCode="_(* #,##0.000_);_(* \(#,##0.000\);_(* &quot;-&quot;??_);_(@_)"/>
    <numFmt numFmtId="189" formatCode="_(* #,##0.0000_);_(* \(#,##0.0000\);_(* &quot;-&quot;??_);_(@_)"/>
    <numFmt numFmtId="190" formatCode="_(* #,##0.00000_);_(* \(#,##0.00000\);_(* &quot;-&quot;??_);_(@_)"/>
    <numFmt numFmtId="191" formatCode="_(* #,##0.000000_);_(* \(#,##0.000000\);_(* &quot;-&quot;??_);_(@_)"/>
    <numFmt numFmtId="192" formatCode="_(* #,##0.0000000_);_(* \(#,##0.0000000\);_(* &quot;-&quot;??_);_(@_)"/>
    <numFmt numFmtId="193" formatCode="_(* #,##0.00000000_);_(* \(#,##0.00000000\);_(* &quot;-&quot;??_);_(@_)"/>
    <numFmt numFmtId="194" formatCode="_(* #,##0.000000000_);_(* \(#,##0.000000000\);_(* &quot;-&quot;??_);_(@_)"/>
    <numFmt numFmtId="195" formatCode="_-* #,##0.0000\ _C_F_A_-;\-* #,##0.0000\ _C_F_A_-;_-* &quot;-&quot;????\ _C_F_A_-;_-@_-"/>
    <numFmt numFmtId="196" formatCode="0.000000000"/>
    <numFmt numFmtId="197" formatCode="0.00000000"/>
    <numFmt numFmtId="198" formatCode="0.0000000"/>
    <numFmt numFmtId="199" formatCode="0.000000"/>
    <numFmt numFmtId="200" formatCode="0.00000"/>
    <numFmt numFmtId="201" formatCode="0.0000"/>
    <numFmt numFmtId="202" formatCode="0.000"/>
  </numFmts>
  <fonts count="83">
    <font>
      <sz val="12"/>
      <color theme="1"/>
      <name val="Calibri"/>
      <family val="2"/>
    </font>
    <font>
      <sz val="11"/>
      <color indexed="8"/>
      <name val="Calibri"/>
      <family val="2"/>
    </font>
    <font>
      <b/>
      <sz val="9"/>
      <name val="Tahoma"/>
      <family val="2"/>
    </font>
    <font>
      <sz val="9"/>
      <name val="Tahoma"/>
      <family val="2"/>
    </font>
    <font>
      <b/>
      <sz val="9"/>
      <name val="Calibri"/>
      <family val="2"/>
    </font>
    <font>
      <sz val="9"/>
      <name val="Calibri"/>
      <family val="2"/>
    </font>
    <font>
      <sz val="8"/>
      <name val="Calibri"/>
      <family val="2"/>
    </font>
    <font>
      <b/>
      <i/>
      <sz val="12"/>
      <name val="Calibri"/>
      <family val="2"/>
    </font>
    <font>
      <b/>
      <sz val="12"/>
      <name val="Calibri"/>
      <family val="2"/>
    </font>
    <font>
      <sz val="12"/>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2"/>
      <color indexed="8"/>
      <name val="Times New Roman"/>
      <family val="2"/>
    </font>
    <font>
      <sz val="11"/>
      <color indexed="62"/>
      <name val="Calibri"/>
      <family val="2"/>
    </font>
    <font>
      <sz val="11"/>
      <color indexed="14"/>
      <name val="Calibri"/>
      <family val="2"/>
    </font>
    <font>
      <u val="single"/>
      <sz val="8.5"/>
      <color indexed="39"/>
      <name val="Calibri"/>
      <family val="2"/>
    </font>
    <font>
      <u val="single"/>
      <sz val="8.5"/>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Times New Roman"/>
      <family val="1"/>
    </font>
    <font>
      <sz val="12"/>
      <color indexed="10"/>
      <name val="Times New Roman"/>
      <family val="1"/>
    </font>
    <font>
      <b/>
      <i/>
      <sz val="12"/>
      <color indexed="8"/>
      <name val="Times New Roman"/>
      <family val="1"/>
    </font>
    <font>
      <b/>
      <sz val="12"/>
      <color indexed="10"/>
      <name val="Times New Roman"/>
      <family val="1"/>
    </font>
    <font>
      <i/>
      <sz val="12"/>
      <name val="Calibri"/>
      <family val="2"/>
    </font>
    <font>
      <b/>
      <sz val="12"/>
      <color indexed="8"/>
      <name val="Calibri"/>
      <family val="2"/>
    </font>
    <font>
      <sz val="12"/>
      <color indexed="10"/>
      <name val="Calibri"/>
      <family val="2"/>
    </font>
    <font>
      <b/>
      <sz val="14"/>
      <name val="Calibri"/>
      <family val="2"/>
    </font>
    <font>
      <b/>
      <sz val="14"/>
      <color indexed="8"/>
      <name val="Calibri"/>
      <family val="2"/>
    </font>
    <font>
      <sz val="12"/>
      <color indexed="53"/>
      <name val="Calibri"/>
      <family val="0"/>
    </font>
    <font>
      <b/>
      <sz val="16"/>
      <name val="Calibri"/>
      <family val="2"/>
    </font>
    <font>
      <b/>
      <sz val="12"/>
      <color indexed="53"/>
      <name val="Calibri"/>
      <family val="0"/>
    </font>
    <font>
      <b/>
      <i/>
      <sz val="12"/>
      <color indexed="8"/>
      <name val="Calibri"/>
      <family val="2"/>
    </font>
    <font>
      <sz val="11"/>
      <name val="Calibri"/>
      <family val="2"/>
    </font>
    <font>
      <b/>
      <sz val="11"/>
      <name val="Calibri"/>
      <family val="2"/>
    </font>
    <font>
      <sz val="11"/>
      <color indexed="19"/>
      <name val="Calibri"/>
      <family val="2"/>
    </font>
    <font>
      <sz val="11"/>
      <color indexed="53"/>
      <name val="Calibri"/>
      <family val="0"/>
    </font>
    <font>
      <b/>
      <i/>
      <sz val="14"/>
      <name val="Calibri"/>
      <family val="2"/>
    </font>
    <font>
      <sz val="14"/>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2"/>
      <color theme="1"/>
      <name val="Times New Roman"/>
      <family val="2"/>
    </font>
    <font>
      <sz val="11"/>
      <color rgb="FF3F3F76"/>
      <name val="Calibri"/>
      <family val="2"/>
    </font>
    <font>
      <sz val="11"/>
      <color rgb="FF9C0006"/>
      <name val="Calibri"/>
      <family val="2"/>
    </font>
    <font>
      <u val="single"/>
      <sz val="8.5"/>
      <color theme="10"/>
      <name val="Calibri"/>
      <family val="2"/>
    </font>
    <font>
      <u val="single"/>
      <sz val="8.5"/>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Times New Roman"/>
      <family val="1"/>
    </font>
    <font>
      <sz val="12"/>
      <color rgb="FFFF0000"/>
      <name val="Times New Roman"/>
      <family val="1"/>
    </font>
    <font>
      <b/>
      <i/>
      <sz val="12"/>
      <color theme="1"/>
      <name val="Times New Roman"/>
      <family val="1"/>
    </font>
    <font>
      <b/>
      <sz val="12"/>
      <color rgb="FFFF0000"/>
      <name val="Times New Roman"/>
      <family val="1"/>
    </font>
    <font>
      <b/>
      <sz val="12"/>
      <color theme="1"/>
      <name val="Calibri"/>
      <family val="2"/>
    </font>
    <font>
      <sz val="12"/>
      <color rgb="FFFF0000"/>
      <name val="Calibri"/>
      <family val="2"/>
    </font>
    <font>
      <b/>
      <sz val="14"/>
      <color theme="1"/>
      <name val="Calibri"/>
      <family val="2"/>
    </font>
    <font>
      <sz val="12"/>
      <color rgb="FFFF6600"/>
      <name val="Calibri"/>
      <family val="0"/>
    </font>
    <font>
      <b/>
      <sz val="12"/>
      <color rgb="FFFF6600"/>
      <name val="Calibri"/>
      <family val="0"/>
    </font>
    <font>
      <b/>
      <i/>
      <sz val="12"/>
      <color theme="1"/>
      <name val="Calibri"/>
      <family val="2"/>
    </font>
    <font>
      <sz val="11"/>
      <color theme="6" tint="-0.24997000396251678"/>
      <name val="Calibri"/>
      <family val="2"/>
    </font>
    <font>
      <sz val="11"/>
      <color rgb="FFFF6600"/>
      <name val="Calibri"/>
      <family val="0"/>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rgb="FFCCFFCC"/>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theme="0" tint="-0.3499799966812134"/>
        <bgColor indexed="64"/>
      </patternFill>
    </fill>
    <fill>
      <patternFill patternType="solid">
        <fgColor rgb="FFF5FF68"/>
        <bgColor indexed="64"/>
      </patternFill>
    </fill>
    <fill>
      <patternFill patternType="solid">
        <fgColor theme="6" tint="-0.24997000396251678"/>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medium"/>
      <bottom>
        <color indexed="63"/>
      </bottom>
    </border>
    <border>
      <left style="thin"/>
      <right style="thin"/>
      <top style="medium"/>
      <bottom style="thin"/>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182" fontId="55" fillId="0" borderId="0" applyFont="0" applyFill="0" applyBorder="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2"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0" borderId="0" applyNumberFormat="0" applyBorder="0" applyAlignment="0" applyProtection="0"/>
    <xf numFmtId="0" fontId="55" fillId="0" borderId="0">
      <alignment/>
      <protection/>
    </xf>
    <xf numFmtId="9" fontId="55" fillId="0" borderId="0" applyFont="0" applyFill="0" applyBorder="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678">
    <xf numFmtId="0" fontId="0" fillId="0" borderId="0" xfId="0" applyFont="1" applyAlignment="1">
      <alignment/>
    </xf>
    <xf numFmtId="0" fontId="50" fillId="0" borderId="0" xfId="0" applyFont="1" applyAlignment="1">
      <alignment/>
    </xf>
    <xf numFmtId="0" fontId="55" fillId="0" borderId="0" xfId="0" applyFont="1" applyAlignment="1">
      <alignment/>
    </xf>
    <xf numFmtId="0" fontId="50" fillId="0" borderId="0" xfId="0" applyFont="1" applyFill="1" applyAlignment="1">
      <alignment/>
    </xf>
    <xf numFmtId="0" fontId="55" fillId="0" borderId="0" xfId="0" applyFont="1" applyFill="1" applyAlignment="1">
      <alignment/>
    </xf>
    <xf numFmtId="0" fontId="55" fillId="0" borderId="0" xfId="0" applyFont="1" applyFill="1" applyAlignment="1">
      <alignment vertical="top"/>
    </xf>
    <xf numFmtId="0" fontId="0" fillId="0" borderId="0" xfId="0" applyFill="1" applyAlignment="1">
      <alignment vertical="top"/>
    </xf>
    <xf numFmtId="0" fontId="0" fillId="0" borderId="0" xfId="0" applyAlignment="1">
      <alignment vertical="top"/>
    </xf>
    <xf numFmtId="0" fontId="0" fillId="0" borderId="0" xfId="0" applyAlignment="1">
      <alignment vertical="center"/>
    </xf>
    <xf numFmtId="0" fontId="0" fillId="0" borderId="0" xfId="0" applyFill="1" applyAlignment="1">
      <alignment vertical="center"/>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xf>
    <xf numFmtId="0" fontId="55" fillId="0" borderId="0" xfId="53" applyFont="1">
      <alignment/>
      <protection/>
    </xf>
    <xf numFmtId="0" fontId="55" fillId="0" borderId="0" xfId="53" applyFont="1" applyAlignment="1">
      <alignment wrapText="1"/>
      <protection/>
    </xf>
    <xf numFmtId="183" fontId="55" fillId="0" borderId="0" xfId="42" applyNumberFormat="1" applyFont="1" applyAlignment="1">
      <alignment/>
    </xf>
    <xf numFmtId="0" fontId="55" fillId="0" borderId="0" xfId="53" applyFont="1" applyBorder="1">
      <alignment/>
      <protection/>
    </xf>
    <xf numFmtId="0" fontId="70" fillId="0" borderId="10" xfId="53" applyFont="1" applyFill="1" applyBorder="1" applyAlignment="1">
      <alignment horizontal="center" vertical="center" wrapText="1"/>
      <protection/>
    </xf>
    <xf numFmtId="0" fontId="70" fillId="0" borderId="10" xfId="53" applyFont="1" applyFill="1" applyBorder="1" applyAlignment="1">
      <alignment horizontal="left" vertical="center" wrapText="1"/>
      <protection/>
    </xf>
    <xf numFmtId="183" fontId="70" fillId="0" borderId="10" xfId="42" applyNumberFormat="1" applyFont="1" applyFill="1" applyBorder="1" applyAlignment="1">
      <alignment horizontal="center" vertical="center" wrapText="1"/>
    </xf>
    <xf numFmtId="0" fontId="70" fillId="0" borderId="10" xfId="53" applyFont="1" applyBorder="1" applyAlignment="1">
      <alignment horizontal="center" vertical="center"/>
      <protection/>
    </xf>
    <xf numFmtId="183" fontId="55" fillId="0" borderId="10" xfId="42" applyNumberFormat="1" applyFont="1" applyFill="1" applyBorder="1" applyAlignment="1">
      <alignment horizontal="center" vertical="center" wrapText="1"/>
    </xf>
    <xf numFmtId="10" fontId="71" fillId="0" borderId="10" xfId="55" applyNumberFormat="1" applyFont="1" applyBorder="1" applyAlignment="1">
      <alignment/>
    </xf>
    <xf numFmtId="183" fontId="72" fillId="0" borderId="10" xfId="42" applyNumberFormat="1" applyFont="1" applyFill="1" applyBorder="1" applyAlignment="1">
      <alignment/>
    </xf>
    <xf numFmtId="9" fontId="73" fillId="0" borderId="10" xfId="55" applyFont="1" applyBorder="1" applyAlignment="1">
      <alignment/>
    </xf>
    <xf numFmtId="0" fontId="34" fillId="0" borderId="10" xfId="0" applyFont="1" applyBorder="1" applyAlignment="1">
      <alignment vertical="top" wrapText="1"/>
    </xf>
    <xf numFmtId="0" fontId="0" fillId="0" borderId="0" xfId="0" applyFill="1" applyAlignment="1">
      <alignment/>
    </xf>
    <xf numFmtId="0" fontId="55" fillId="0" borderId="0" xfId="0" applyFont="1" applyAlignment="1">
      <alignment vertical="top"/>
    </xf>
    <xf numFmtId="0" fontId="50" fillId="0" borderId="0" xfId="0" applyFont="1" applyFill="1" applyAlignment="1">
      <alignment vertical="top"/>
    </xf>
    <xf numFmtId="0" fontId="50" fillId="0" borderId="0" xfId="0" applyFont="1" applyFill="1" applyAlignment="1">
      <alignment vertical="center"/>
    </xf>
    <xf numFmtId="180" fontId="0" fillId="0" borderId="0" xfId="0" applyNumberFormat="1" applyAlignment="1">
      <alignment/>
    </xf>
    <xf numFmtId="181" fontId="0" fillId="0" borderId="0" xfId="0" applyNumberFormat="1" applyAlignment="1">
      <alignment/>
    </xf>
    <xf numFmtId="0" fontId="70" fillId="33" borderId="10" xfId="0" applyFont="1" applyFill="1" applyBorder="1" applyAlignment="1">
      <alignment horizontal="center"/>
    </xf>
    <xf numFmtId="180" fontId="55" fillId="0" borderId="10" xfId="0" applyNumberFormat="1" applyFont="1" applyBorder="1" applyAlignment="1">
      <alignment/>
    </xf>
    <xf numFmtId="181" fontId="55" fillId="0" borderId="10" xfId="0" applyNumberFormat="1" applyFont="1" applyBorder="1" applyAlignment="1">
      <alignment/>
    </xf>
    <xf numFmtId="180" fontId="72" fillId="0" borderId="10" xfId="0" applyNumberFormat="1" applyFont="1" applyBorder="1" applyAlignment="1">
      <alignment/>
    </xf>
    <xf numFmtId="0" fontId="0" fillId="0" borderId="0" xfId="0" applyFont="1" applyAlignment="1">
      <alignment horizontal="left" vertical="top" wrapText="1"/>
    </xf>
    <xf numFmtId="183" fontId="0" fillId="0" borderId="0" xfId="48" applyNumberFormat="1" applyFont="1" applyAlignment="1">
      <alignment/>
    </xf>
    <xf numFmtId="0" fontId="0" fillId="0" borderId="0" xfId="0" applyFont="1" applyAlignment="1">
      <alignment horizontal="center" vertical="center"/>
    </xf>
    <xf numFmtId="183" fontId="74" fillId="0" borderId="0" xfId="48" applyNumberFormat="1" applyFont="1" applyFill="1" applyAlignment="1">
      <alignment horizontal="center" vertical="center"/>
    </xf>
    <xf numFmtId="183" fontId="74" fillId="0" borderId="0" xfId="48" applyNumberFormat="1" applyFont="1" applyAlignment="1">
      <alignment horizontal="center" vertical="center"/>
    </xf>
    <xf numFmtId="0" fontId="74" fillId="0" borderId="0" xfId="0" applyFont="1" applyAlignment="1">
      <alignment horizontal="center" vertical="center"/>
    </xf>
    <xf numFmtId="0" fontId="0" fillId="34" borderId="0" xfId="0" applyFill="1" applyAlignment="1">
      <alignment vertical="top"/>
    </xf>
    <xf numFmtId="183" fontId="74" fillId="0" borderId="0" xfId="0" applyNumberFormat="1" applyFont="1" applyAlignment="1">
      <alignment horizontal="center" vertical="center"/>
    </xf>
    <xf numFmtId="183" fontId="34" fillId="35" borderId="10" xfId="48" applyNumberFormat="1" applyFont="1" applyFill="1" applyBorder="1" applyAlignment="1">
      <alignment horizontal="center" vertical="center"/>
    </xf>
    <xf numFmtId="183" fontId="7" fillId="35" borderId="10" xfId="48" applyNumberFormat="1" applyFont="1" applyFill="1" applyBorder="1" applyAlignment="1">
      <alignment horizontal="center" vertical="center"/>
    </xf>
    <xf numFmtId="183" fontId="7" fillId="35" borderId="10" xfId="0" applyNumberFormat="1" applyFont="1" applyFill="1" applyBorder="1" applyAlignment="1">
      <alignment horizontal="center" vertical="center"/>
    </xf>
    <xf numFmtId="183" fontId="34" fillId="35" borderId="10" xfId="48" applyNumberFormat="1" applyFont="1" applyFill="1" applyBorder="1" applyAlignment="1">
      <alignment horizontal="center" vertical="center" wrapText="1"/>
    </xf>
    <xf numFmtId="183" fontId="0" fillId="35" borderId="0" xfId="48" applyNumberFormat="1" applyFont="1" applyFill="1" applyAlignment="1">
      <alignment horizontal="center" vertical="center"/>
    </xf>
    <xf numFmtId="183" fontId="74" fillId="35" borderId="0" xfId="48" applyNumberFormat="1" applyFont="1" applyFill="1" applyAlignment="1">
      <alignment horizontal="center" vertical="center"/>
    </xf>
    <xf numFmtId="183" fontId="0" fillId="0" borderId="0" xfId="0" applyNumberFormat="1" applyAlignment="1">
      <alignment/>
    </xf>
    <xf numFmtId="0" fontId="9" fillId="0" borderId="0" xfId="0" applyFont="1" applyBorder="1" applyAlignment="1">
      <alignment horizontal="left" vertical="top" wrapText="1"/>
    </xf>
    <xf numFmtId="183" fontId="74" fillId="34" borderId="0" xfId="0" applyNumberFormat="1" applyFont="1" applyFill="1" applyAlignment="1">
      <alignment horizontal="center" vertical="center"/>
    </xf>
    <xf numFmtId="0" fontId="75" fillId="0" borderId="0" xfId="0" applyFont="1" applyAlignment="1">
      <alignment vertical="top"/>
    </xf>
    <xf numFmtId="0" fontId="0" fillId="36" borderId="0" xfId="0" applyFill="1" applyAlignment="1">
      <alignment vertical="top"/>
    </xf>
    <xf numFmtId="0" fontId="0" fillId="37" borderId="0" xfId="0" applyFill="1" applyAlignment="1">
      <alignment/>
    </xf>
    <xf numFmtId="0" fontId="55" fillId="34" borderId="0" xfId="0" applyFont="1" applyFill="1" applyAlignment="1">
      <alignment vertical="top"/>
    </xf>
    <xf numFmtId="0" fontId="0" fillId="9" borderId="0" xfId="0" applyFill="1" applyAlignment="1">
      <alignment vertical="top"/>
    </xf>
    <xf numFmtId="0" fontId="0" fillId="38" borderId="0" xfId="0" applyFill="1" applyAlignment="1">
      <alignment vertical="top"/>
    </xf>
    <xf numFmtId="0" fontId="75" fillId="9" borderId="0" xfId="0" applyFont="1" applyFill="1" applyAlignment="1">
      <alignment vertical="top"/>
    </xf>
    <xf numFmtId="0" fontId="0" fillId="37" borderId="0" xfId="0" applyFill="1" applyAlignment="1">
      <alignment vertical="top"/>
    </xf>
    <xf numFmtId="183" fontId="7" fillId="39" borderId="10" xfId="48" applyNumberFormat="1" applyFont="1" applyFill="1" applyBorder="1" applyAlignment="1">
      <alignment horizontal="center" vertical="center" wrapText="1"/>
    </xf>
    <xf numFmtId="183" fontId="34" fillId="39" borderId="10" xfId="0" applyNumberFormat="1" applyFont="1" applyFill="1" applyBorder="1" applyAlignment="1">
      <alignment vertical="top"/>
    </xf>
    <xf numFmtId="0" fontId="55" fillId="39" borderId="0" xfId="0" applyFont="1" applyFill="1" applyAlignment="1">
      <alignment vertical="top"/>
    </xf>
    <xf numFmtId="0" fontId="0" fillId="39" borderId="0" xfId="0" applyFill="1" applyAlignment="1">
      <alignment vertical="top"/>
    </xf>
    <xf numFmtId="0" fontId="0" fillId="40" borderId="0" xfId="0" applyFill="1" applyAlignment="1">
      <alignment vertical="top"/>
    </xf>
    <xf numFmtId="0" fontId="0" fillId="41" borderId="0" xfId="0" applyFill="1" applyAlignment="1">
      <alignment vertical="top"/>
    </xf>
    <xf numFmtId="0" fontId="0" fillId="38" borderId="0" xfId="0" applyFill="1" applyAlignment="1">
      <alignment vertical="top"/>
    </xf>
    <xf numFmtId="0" fontId="0" fillId="13" borderId="0" xfId="0" applyFill="1" applyAlignment="1">
      <alignment vertical="top"/>
    </xf>
    <xf numFmtId="183" fontId="7" fillId="39" borderId="10" xfId="48" applyNumberFormat="1" applyFont="1" applyFill="1" applyBorder="1" applyAlignment="1">
      <alignment horizontal="center" vertical="center"/>
    </xf>
    <xf numFmtId="183" fontId="7" fillId="39" borderId="10" xfId="48" applyNumberFormat="1" applyFont="1" applyFill="1" applyBorder="1" applyAlignment="1">
      <alignment horizontal="left" vertical="center"/>
    </xf>
    <xf numFmtId="0" fontId="0" fillId="39" borderId="0" xfId="0" applyFill="1" applyAlignment="1">
      <alignment horizontal="left" vertical="top"/>
    </xf>
    <xf numFmtId="183" fontId="37" fillId="39" borderId="10" xfId="48" applyNumberFormat="1" applyFont="1" applyFill="1" applyBorder="1" applyAlignment="1">
      <alignment horizontal="left" vertical="center"/>
    </xf>
    <xf numFmtId="0" fontId="37" fillId="39" borderId="10" xfId="0" applyFont="1" applyFill="1" applyBorder="1" applyAlignment="1">
      <alignment horizontal="left" vertical="center"/>
    </xf>
    <xf numFmtId="3" fontId="37" fillId="39" borderId="10" xfId="0" applyNumberFormat="1" applyFont="1" applyFill="1" applyBorder="1" applyAlignment="1">
      <alignment horizontal="left" vertical="center" wrapText="1"/>
    </xf>
    <xf numFmtId="0" fontId="76" fillId="39" borderId="0" xfId="0" applyFont="1" applyFill="1" applyAlignment="1">
      <alignment horizontal="left" vertical="top"/>
    </xf>
    <xf numFmtId="183" fontId="7" fillId="39" borderId="10" xfId="48" applyNumberFormat="1" applyFont="1" applyFill="1" applyBorder="1" applyAlignment="1">
      <alignment horizontal="left" vertical="center" wrapText="1"/>
    </xf>
    <xf numFmtId="3" fontId="37" fillId="39" borderId="10" xfId="0" applyNumberFormat="1" applyFont="1" applyFill="1" applyBorder="1" applyAlignment="1">
      <alignment horizontal="left" vertical="top" wrapText="1"/>
    </xf>
    <xf numFmtId="0" fontId="75" fillId="11" borderId="0" xfId="0" applyFont="1" applyFill="1" applyAlignment="1">
      <alignment vertical="top"/>
    </xf>
    <xf numFmtId="0" fontId="0" fillId="11" borderId="0" xfId="0" applyFill="1" applyAlignment="1">
      <alignment vertical="top"/>
    </xf>
    <xf numFmtId="0" fontId="55" fillId="11" borderId="0" xfId="0" applyFont="1" applyFill="1" applyAlignment="1">
      <alignment vertical="top"/>
    </xf>
    <xf numFmtId="0" fontId="0" fillId="9" borderId="0" xfId="0" applyFill="1" applyAlignment="1">
      <alignment vertical="top"/>
    </xf>
    <xf numFmtId="0" fontId="76" fillId="34" borderId="0" xfId="0" applyFont="1" applyFill="1" applyAlignment="1">
      <alignment horizontal="left" vertical="top"/>
    </xf>
    <xf numFmtId="0" fontId="0" fillId="34" borderId="0" xfId="0" applyFill="1" applyAlignment="1">
      <alignment horizontal="left" vertical="top"/>
    </xf>
    <xf numFmtId="0" fontId="0" fillId="34" borderId="0" xfId="0" applyFill="1" applyAlignment="1">
      <alignment/>
    </xf>
    <xf numFmtId="183" fontId="7" fillId="35" borderId="10" xfId="48" applyNumberFormat="1" applyFont="1" applyFill="1" applyBorder="1" applyAlignment="1">
      <alignment horizontal="center" vertical="center" wrapText="1"/>
    </xf>
    <xf numFmtId="183" fontId="7" fillId="35" borderId="10" xfId="48" applyNumberFormat="1" applyFont="1" applyFill="1" applyBorder="1" applyAlignment="1">
      <alignment horizontal="center" vertical="center" wrapText="1"/>
    </xf>
    <xf numFmtId="0" fontId="0" fillId="42" borderId="0" xfId="0" applyFill="1" applyAlignment="1">
      <alignment vertical="top"/>
    </xf>
    <xf numFmtId="0" fontId="77" fillId="34" borderId="0" xfId="0" applyFont="1" applyFill="1" applyAlignment="1">
      <alignment vertical="top"/>
    </xf>
    <xf numFmtId="3" fontId="0" fillId="0" borderId="0" xfId="0" applyNumberFormat="1" applyAlignment="1">
      <alignment/>
    </xf>
    <xf numFmtId="0" fontId="74" fillId="37" borderId="0" xfId="0" applyFont="1" applyFill="1" applyAlignment="1">
      <alignment/>
    </xf>
    <xf numFmtId="0" fontId="74" fillId="38" borderId="0" xfId="0" applyFont="1" applyFill="1" applyAlignment="1">
      <alignment/>
    </xf>
    <xf numFmtId="0" fontId="74" fillId="9" borderId="0" xfId="0" applyFont="1" applyFill="1" applyAlignment="1">
      <alignment/>
    </xf>
    <xf numFmtId="0" fontId="74" fillId="11" borderId="0" xfId="0" applyFont="1" applyFill="1" applyAlignment="1">
      <alignment/>
    </xf>
    <xf numFmtId="0" fontId="0" fillId="10" borderId="0" xfId="0" applyFill="1" applyAlignment="1">
      <alignment/>
    </xf>
    <xf numFmtId="0" fontId="74" fillId="40" borderId="0" xfId="0" applyFont="1" applyFill="1" applyAlignment="1">
      <alignment/>
    </xf>
    <xf numFmtId="0" fontId="0" fillId="19" borderId="0" xfId="0" applyFill="1" applyAlignment="1">
      <alignment/>
    </xf>
    <xf numFmtId="0" fontId="74" fillId="43" borderId="0" xfId="0" applyFont="1" applyFill="1" applyAlignment="1">
      <alignment/>
    </xf>
    <xf numFmtId="0" fontId="74" fillId="33" borderId="0" xfId="0" applyFont="1" applyFill="1" applyAlignment="1">
      <alignment/>
    </xf>
    <xf numFmtId="0" fontId="0" fillId="10" borderId="0" xfId="0" applyFill="1" applyAlignment="1">
      <alignment vertical="top"/>
    </xf>
    <xf numFmtId="183" fontId="50" fillId="0" borderId="0" xfId="0" applyNumberFormat="1" applyFont="1" applyFill="1" applyAlignment="1">
      <alignment vertical="top"/>
    </xf>
    <xf numFmtId="0" fontId="0" fillId="11" borderId="0" xfId="0" applyFill="1" applyAlignment="1">
      <alignment vertical="top"/>
    </xf>
    <xf numFmtId="0" fontId="74" fillId="0" borderId="0" xfId="0" applyFont="1" applyAlignment="1">
      <alignment/>
    </xf>
    <xf numFmtId="0" fontId="76" fillId="0" borderId="0" xfId="0" applyFont="1" applyAlignment="1">
      <alignment/>
    </xf>
    <xf numFmtId="183" fontId="75" fillId="0" borderId="0" xfId="0" applyNumberFormat="1" applyFont="1" applyAlignment="1">
      <alignment/>
    </xf>
    <xf numFmtId="0" fontId="0" fillId="38" borderId="0" xfId="0" applyFill="1" applyAlignment="1">
      <alignment vertical="top"/>
    </xf>
    <xf numFmtId="0" fontId="0" fillId="9" borderId="0" xfId="0" applyFill="1" applyAlignment="1">
      <alignment vertical="top"/>
    </xf>
    <xf numFmtId="0" fontId="71" fillId="0" borderId="10" xfId="0" applyFont="1" applyBorder="1" applyAlignment="1">
      <alignment vertical="center" wrapText="1"/>
    </xf>
    <xf numFmtId="0" fontId="0" fillId="40" borderId="0" xfId="0" applyFill="1" applyAlignment="1">
      <alignment vertical="top"/>
    </xf>
    <xf numFmtId="0" fontId="74" fillId="7" borderId="0" xfId="0" applyFont="1" applyFill="1" applyAlignment="1">
      <alignment/>
    </xf>
    <xf numFmtId="0" fontId="74" fillId="44" borderId="0" xfId="0" applyFont="1" applyFill="1" applyAlignment="1">
      <alignment/>
    </xf>
    <xf numFmtId="0" fontId="74" fillId="25" borderId="0" xfId="0" applyFont="1" applyFill="1" applyAlignment="1">
      <alignment/>
    </xf>
    <xf numFmtId="0" fontId="74" fillId="17" borderId="0" xfId="0" applyFont="1" applyFill="1" applyAlignment="1">
      <alignment/>
    </xf>
    <xf numFmtId="183" fontId="76" fillId="0" borderId="0" xfId="48" applyNumberFormat="1" applyFont="1" applyFill="1" applyAlignment="1">
      <alignment horizontal="center" vertical="center"/>
    </xf>
    <xf numFmtId="0" fontId="9" fillId="0" borderId="10" xfId="0" applyFont="1" applyBorder="1" applyAlignment="1">
      <alignment horizontal="left" vertical="top" wrapText="1"/>
    </xf>
    <xf numFmtId="0" fontId="9" fillId="0" borderId="10" xfId="0" applyFont="1" applyFill="1" applyBorder="1" applyAlignment="1">
      <alignment vertical="top" wrapText="1"/>
    </xf>
    <xf numFmtId="0" fontId="9" fillId="34" borderId="10" xfId="0" applyFont="1" applyFill="1" applyBorder="1" applyAlignment="1">
      <alignment vertical="top" wrapText="1"/>
    </xf>
    <xf numFmtId="183" fontId="7" fillId="35" borderId="11" xfId="48" applyNumberFormat="1" applyFont="1" applyFill="1" applyBorder="1" applyAlignment="1">
      <alignment horizontal="center" vertical="center" wrapText="1"/>
    </xf>
    <xf numFmtId="183" fontId="7" fillId="35" borderId="12" xfId="48" applyNumberFormat="1" applyFont="1" applyFill="1" applyBorder="1" applyAlignment="1">
      <alignment horizontal="center" vertical="center" wrapText="1"/>
    </xf>
    <xf numFmtId="0" fontId="9" fillId="0" borderId="10" xfId="0" applyFont="1" applyBorder="1" applyAlignment="1">
      <alignment horizontal="left" vertical="top" wrapText="1"/>
    </xf>
    <xf numFmtId="0" fontId="34" fillId="0" borderId="10" xfId="0" applyFont="1" applyFill="1" applyBorder="1" applyAlignment="1">
      <alignmen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vertical="top" wrapText="1"/>
    </xf>
    <xf numFmtId="0" fontId="0" fillId="0" borderId="0" xfId="0" applyFont="1" applyFill="1" applyAlignment="1">
      <alignment vertical="top"/>
    </xf>
    <xf numFmtId="183" fontId="75" fillId="0" borderId="0" xfId="0" applyNumberFormat="1" applyFont="1" applyFill="1" applyAlignment="1">
      <alignment horizontal="center" vertical="center"/>
    </xf>
    <xf numFmtId="183" fontId="0" fillId="0" borderId="0" xfId="0" applyNumberFormat="1" applyFont="1" applyFill="1" applyAlignment="1">
      <alignment horizontal="left" vertical="top"/>
    </xf>
    <xf numFmtId="183" fontId="0" fillId="0" borderId="0" xfId="0" applyNumberFormat="1" applyFont="1" applyFill="1" applyAlignment="1">
      <alignment vertical="top"/>
    </xf>
    <xf numFmtId="183" fontId="0" fillId="0" borderId="0" xfId="0" applyNumberFormat="1" applyFont="1" applyFill="1" applyAlignment="1">
      <alignment horizontal="center" vertical="center"/>
    </xf>
    <xf numFmtId="0" fontId="0" fillId="0" borderId="0" xfId="0" applyFont="1" applyFill="1" applyAlignment="1">
      <alignment/>
    </xf>
    <xf numFmtId="0" fontId="74" fillId="0" borderId="0" xfId="0" applyFont="1" applyFill="1" applyAlignment="1">
      <alignment horizontal="center" vertical="center"/>
    </xf>
    <xf numFmtId="183" fontId="0" fillId="0" borderId="0" xfId="48" applyNumberFormat="1" applyFont="1" applyFill="1" applyAlignment="1">
      <alignment horizontal="center" vertical="center"/>
    </xf>
    <xf numFmtId="0" fontId="0" fillId="0" borderId="0" xfId="0" applyFont="1" applyFill="1" applyAlignment="1">
      <alignment horizontal="left" vertical="top" wrapText="1"/>
    </xf>
    <xf numFmtId="183" fontId="0" fillId="0" borderId="0" xfId="0" applyNumberFormat="1" applyFill="1" applyAlignment="1">
      <alignment horizontal="center" vertical="center"/>
    </xf>
    <xf numFmtId="183" fontId="0" fillId="0" borderId="0" xfId="0" applyNumberFormat="1" applyFill="1" applyAlignment="1">
      <alignment/>
    </xf>
    <xf numFmtId="183" fontId="8"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74" fillId="0" borderId="0" xfId="0" applyFont="1" applyFill="1" applyAlignment="1">
      <alignment/>
    </xf>
    <xf numFmtId="41" fontId="74" fillId="0" borderId="0" xfId="49" applyFont="1" applyFill="1" applyAlignment="1">
      <alignment horizontal="center" vertical="center"/>
    </xf>
    <xf numFmtId="0" fontId="74" fillId="0" borderId="0" xfId="0" applyFont="1" applyFill="1" applyAlignment="1">
      <alignment vertical="center"/>
    </xf>
    <xf numFmtId="183" fontId="74" fillId="0" borderId="0" xfId="0" applyNumberFormat="1" applyFont="1" applyFill="1" applyAlignment="1">
      <alignment horizontal="center" vertical="center"/>
    </xf>
    <xf numFmtId="183" fontId="74" fillId="0" borderId="0" xfId="0" applyNumberFormat="1" applyFont="1" applyFill="1" applyAlignment="1">
      <alignment/>
    </xf>
    <xf numFmtId="183" fontId="40" fillId="0" borderId="0" xfId="0" applyNumberFormat="1" applyFont="1" applyFill="1" applyBorder="1" applyAlignment="1">
      <alignment horizontal="center" vertical="center" wrapText="1"/>
    </xf>
    <xf numFmtId="41" fontId="0" fillId="0" borderId="0" xfId="0" applyNumberFormat="1" applyFill="1" applyAlignment="1">
      <alignment/>
    </xf>
    <xf numFmtId="183" fontId="9" fillId="0" borderId="0" xfId="0" applyNumberFormat="1" applyFont="1" applyFill="1" applyAlignment="1">
      <alignment horizontal="center" vertical="center"/>
    </xf>
    <xf numFmtId="183" fontId="78" fillId="0" borderId="0" xfId="0" applyNumberFormat="1" applyFont="1" applyFill="1" applyAlignment="1">
      <alignment/>
    </xf>
    <xf numFmtId="0" fontId="74" fillId="0" borderId="0" xfId="0" applyFont="1" applyFill="1" applyAlignment="1">
      <alignment wrapText="1"/>
    </xf>
    <xf numFmtId="0" fontId="74" fillId="0" borderId="0" xfId="0" applyFont="1" applyFill="1" applyAlignment="1">
      <alignment wrapText="1" shrinkToFit="1"/>
    </xf>
    <xf numFmtId="0" fontId="76" fillId="0" borderId="0" xfId="0" applyFont="1" applyFill="1" applyAlignment="1">
      <alignment/>
    </xf>
    <xf numFmtId="183" fontId="76" fillId="0" borderId="0" xfId="0" applyNumberFormat="1" applyFont="1" applyFill="1" applyAlignment="1">
      <alignment horizontal="center" vertical="center"/>
    </xf>
    <xf numFmtId="183" fontId="37" fillId="0" borderId="0" xfId="0" applyNumberFormat="1" applyFont="1" applyFill="1" applyBorder="1" applyAlignment="1">
      <alignment horizontal="center" vertical="center" wrapText="1"/>
    </xf>
    <xf numFmtId="183" fontId="76" fillId="0" borderId="0" xfId="0" applyNumberFormat="1" applyFont="1" applyFill="1" applyAlignment="1">
      <alignment vertical="top"/>
    </xf>
    <xf numFmtId="183" fontId="76" fillId="0" borderId="0" xfId="0" applyNumberFormat="1" applyFont="1" applyFill="1" applyAlignment="1">
      <alignment horizontal="left" vertical="top"/>
    </xf>
    <xf numFmtId="183" fontId="76" fillId="0" borderId="0" xfId="0" applyNumberFormat="1" applyFont="1" applyFill="1" applyAlignment="1">
      <alignment/>
    </xf>
    <xf numFmtId="0" fontId="76" fillId="0" borderId="0" xfId="0" applyFont="1" applyFill="1" applyAlignment="1">
      <alignment horizontal="center" vertical="center"/>
    </xf>
    <xf numFmtId="0" fontId="76" fillId="0" borderId="0" xfId="0" applyFont="1" applyFill="1" applyAlignment="1">
      <alignment horizontal="left" vertical="top" wrapText="1"/>
    </xf>
    <xf numFmtId="183" fontId="75" fillId="0" borderId="0" xfId="0" applyNumberFormat="1" applyFont="1" applyFill="1" applyAlignment="1">
      <alignment/>
    </xf>
    <xf numFmtId="41" fontId="0" fillId="0" borderId="0" xfId="0" applyNumberFormat="1" applyFont="1" applyFill="1" applyAlignment="1">
      <alignment vertical="top"/>
    </xf>
    <xf numFmtId="0" fontId="0" fillId="0" borderId="0" xfId="0" applyFont="1" applyFill="1" applyAlignment="1">
      <alignment horizontal="center" vertical="center"/>
    </xf>
    <xf numFmtId="0" fontId="75" fillId="0" borderId="0" xfId="0" applyFont="1" applyFill="1" applyAlignment="1">
      <alignment horizontal="left" vertical="top"/>
    </xf>
    <xf numFmtId="183" fontId="75" fillId="0" borderId="0" xfId="0" applyNumberFormat="1" applyFont="1" applyFill="1" applyAlignment="1">
      <alignment vertical="top"/>
    </xf>
    <xf numFmtId="0" fontId="0" fillId="0" borderId="0" xfId="0" applyFont="1" applyFill="1" applyAlignment="1">
      <alignment horizontal="left" vertical="top"/>
    </xf>
    <xf numFmtId="0" fontId="8" fillId="7" borderId="13" xfId="0" applyFont="1" applyFill="1" applyBorder="1" applyAlignment="1">
      <alignment vertical="center"/>
    </xf>
    <xf numFmtId="183" fontId="8" fillId="0" borderId="10" xfId="48" applyNumberFormat="1" applyFont="1" applyFill="1" applyBorder="1" applyAlignment="1">
      <alignment horizontal="center" vertical="center" wrapText="1"/>
    </xf>
    <xf numFmtId="183" fontId="8" fillId="0" borderId="10" xfId="48" applyNumberFormat="1" applyFont="1" applyFill="1" applyBorder="1" applyAlignment="1">
      <alignment horizontal="center" vertical="center"/>
    </xf>
    <xf numFmtId="183"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183" fontId="8" fillId="0" borderId="10" xfId="48" applyNumberFormat="1" applyFont="1" applyFill="1" applyBorder="1" applyAlignment="1">
      <alignment horizontal="center" vertical="center" wrapText="1"/>
    </xf>
    <xf numFmtId="183" fontId="8" fillId="39" borderId="10" xfId="48"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183" fontId="8" fillId="39" borderId="10" xfId="48" applyNumberFormat="1" applyFont="1" applyFill="1" applyBorder="1" applyAlignment="1">
      <alignment horizontal="center" vertical="center"/>
    </xf>
    <xf numFmtId="183" fontId="8" fillId="45" borderId="10" xfId="48" applyNumberFormat="1" applyFont="1" applyFill="1" applyBorder="1" applyAlignment="1">
      <alignment horizontal="center" vertical="center"/>
    </xf>
    <xf numFmtId="183" fontId="8" fillId="0" borderId="11" xfId="48" applyNumberFormat="1" applyFont="1" applyFill="1" applyBorder="1" applyAlignment="1">
      <alignment horizontal="center" vertical="center" wrapText="1"/>
    </xf>
    <xf numFmtId="183" fontId="8" fillId="39" borderId="10" xfId="48" applyNumberFormat="1" applyFont="1" applyFill="1" applyBorder="1" applyAlignment="1">
      <alignment horizontal="left" vertical="center" wrapText="1"/>
    </xf>
    <xf numFmtId="183" fontId="8" fillId="0" borderId="12" xfId="48" applyNumberFormat="1" applyFont="1" applyFill="1" applyBorder="1" applyAlignment="1">
      <alignment horizontal="center" vertical="center" wrapText="1"/>
    </xf>
    <xf numFmtId="183" fontId="8" fillId="39" borderId="11" xfId="48" applyNumberFormat="1" applyFont="1" applyFill="1" applyBorder="1" applyAlignment="1">
      <alignment horizontal="left" vertical="center" wrapText="1"/>
    </xf>
    <xf numFmtId="183" fontId="8" fillId="45" borderId="10" xfId="0" applyNumberFormat="1" applyFont="1" applyFill="1" applyBorder="1" applyAlignment="1">
      <alignment horizontal="center" vertical="center"/>
    </xf>
    <xf numFmtId="183" fontId="8" fillId="0" borderId="10" xfId="48" applyNumberFormat="1" applyFont="1" applyBorder="1" applyAlignment="1">
      <alignment horizontal="center" vertical="center" wrapText="1"/>
    </xf>
    <xf numFmtId="183" fontId="8" fillId="0" borderId="11" xfId="48" applyNumberFormat="1" applyFont="1" applyBorder="1" applyAlignment="1">
      <alignment horizontal="center" vertical="center" wrapText="1"/>
    </xf>
    <xf numFmtId="183" fontId="8" fillId="0" borderId="12" xfId="48" applyNumberFormat="1" applyFont="1" applyBorder="1" applyAlignment="1">
      <alignment horizontal="center" vertical="center" wrapText="1"/>
    </xf>
    <xf numFmtId="0" fontId="9" fillId="0" borderId="10" xfId="0" applyFont="1" applyFill="1" applyBorder="1" applyAlignment="1">
      <alignment vertical="top"/>
    </xf>
    <xf numFmtId="9" fontId="8" fillId="0" borderId="10" xfId="55" applyFont="1" applyFill="1" applyBorder="1" applyAlignment="1">
      <alignment horizontal="center" vertical="center" wrapText="1"/>
    </xf>
    <xf numFmtId="183" fontId="8" fillId="39" borderId="10" xfId="55" applyNumberFormat="1" applyFont="1" applyFill="1" applyBorder="1" applyAlignment="1">
      <alignment horizontal="left" vertical="center" wrapText="1"/>
    </xf>
    <xf numFmtId="183" fontId="8" fillId="0" borderId="10" xfId="0" applyNumberFormat="1" applyFont="1" applyBorder="1" applyAlignment="1">
      <alignment horizontal="center" vertical="center" wrapText="1"/>
    </xf>
    <xf numFmtId="183" fontId="8" fillId="39" borderId="10" xfId="0" applyNumberFormat="1" applyFont="1" applyFill="1" applyBorder="1" applyAlignment="1">
      <alignment horizontal="left" vertical="center" wrapText="1"/>
    </xf>
    <xf numFmtId="0" fontId="8" fillId="0" borderId="0" xfId="0" applyFont="1" applyAlignment="1">
      <alignment horizontal="center" vertical="center"/>
    </xf>
    <xf numFmtId="183" fontId="8" fillId="0" borderId="0" xfId="0" applyNumberFormat="1" applyFont="1" applyAlignment="1">
      <alignment horizontal="center" vertical="center"/>
    </xf>
    <xf numFmtId="0" fontId="8" fillId="0" borderId="0" xfId="0" applyFont="1" applyFill="1" applyAlignment="1">
      <alignment horizontal="center" vertical="center"/>
    </xf>
    <xf numFmtId="183" fontId="8" fillId="0" borderId="0" xfId="0" applyNumberFormat="1" applyFont="1" applyFill="1" applyBorder="1" applyAlignment="1">
      <alignment horizontal="center" vertical="center" wrapText="1"/>
    </xf>
    <xf numFmtId="0" fontId="8" fillId="0" borderId="0" xfId="0" applyFont="1" applyFill="1" applyAlignment="1">
      <alignment/>
    </xf>
    <xf numFmtId="0" fontId="37" fillId="0" borderId="0" xfId="0" applyFont="1" applyFill="1" applyAlignment="1">
      <alignment/>
    </xf>
    <xf numFmtId="0" fontId="37" fillId="0" borderId="0" xfId="0" applyFont="1" applyFill="1" applyAlignment="1">
      <alignment horizontal="center" vertical="center"/>
    </xf>
    <xf numFmtId="0" fontId="9" fillId="0" borderId="0" xfId="0" applyFont="1" applyFill="1" applyAlignment="1">
      <alignment/>
    </xf>
    <xf numFmtId="0" fontId="9" fillId="0" borderId="0" xfId="0" applyFont="1" applyAlignment="1">
      <alignment/>
    </xf>
    <xf numFmtId="0" fontId="79" fillId="12" borderId="14" xfId="0" applyFont="1" applyFill="1" applyBorder="1" applyAlignment="1">
      <alignment vertical="center"/>
    </xf>
    <xf numFmtId="0" fontId="7" fillId="12" borderId="14" xfId="0" applyFont="1" applyFill="1" applyBorder="1" applyAlignment="1">
      <alignment vertical="center"/>
    </xf>
    <xf numFmtId="0" fontId="79" fillId="12" borderId="14" xfId="0" applyFont="1" applyFill="1" applyBorder="1" applyAlignment="1">
      <alignment horizontal="center" vertical="center"/>
    </xf>
    <xf numFmtId="0" fontId="79" fillId="35" borderId="14" xfId="0" applyFont="1" applyFill="1" applyBorder="1" applyAlignment="1">
      <alignment vertical="center"/>
    </xf>
    <xf numFmtId="0" fontId="8" fillId="46" borderId="15" xfId="0" applyFont="1" applyFill="1" applyBorder="1" applyAlignment="1">
      <alignment horizontal="center" vertical="center" wrapText="1"/>
    </xf>
    <xf numFmtId="183" fontId="34" fillId="0" borderId="16" xfId="0" applyNumberFormat="1" applyFont="1" applyFill="1" applyBorder="1" applyAlignment="1">
      <alignment horizontal="left" vertical="top" wrapText="1"/>
    </xf>
    <xf numFmtId="0" fontId="34" fillId="0" borderId="16" xfId="0" applyFont="1" applyFill="1" applyBorder="1" applyAlignment="1">
      <alignment horizontal="left" vertical="top" wrapText="1"/>
    </xf>
    <xf numFmtId="0" fontId="43" fillId="0" borderId="16" xfId="0" applyFont="1" applyFill="1" applyBorder="1" applyAlignment="1">
      <alignment vertical="top" wrapText="1"/>
    </xf>
    <xf numFmtId="183" fontId="37" fillId="39" borderId="16" xfId="0" applyNumberFormat="1" applyFont="1" applyFill="1" applyBorder="1" applyAlignment="1">
      <alignment horizontal="left" vertical="top" wrapText="1"/>
    </xf>
    <xf numFmtId="0" fontId="34" fillId="34" borderId="16" xfId="0" applyFont="1" applyFill="1" applyBorder="1" applyAlignment="1">
      <alignment horizontal="left" vertical="top" wrapText="1"/>
    </xf>
    <xf numFmtId="0" fontId="34" fillId="0" borderId="16" xfId="0" applyFont="1" applyBorder="1" applyAlignment="1">
      <alignment horizontal="left" vertical="top" wrapText="1"/>
    </xf>
    <xf numFmtId="183" fontId="34" fillId="39" borderId="16" xfId="0" applyNumberFormat="1" applyFont="1" applyFill="1" applyBorder="1" applyAlignment="1">
      <alignment horizontal="left" vertical="top" wrapText="1"/>
    </xf>
    <xf numFmtId="0" fontId="34" fillId="0" borderId="16" xfId="0" applyFont="1" applyFill="1" applyBorder="1" applyAlignment="1">
      <alignment vertical="top" wrapText="1"/>
    </xf>
    <xf numFmtId="0" fontId="43" fillId="0" borderId="16" xfId="0" applyFont="1" applyBorder="1" applyAlignment="1">
      <alignment vertical="top" wrapText="1"/>
    </xf>
    <xf numFmtId="0" fontId="43" fillId="39" borderId="16" xfId="0" applyFont="1" applyFill="1" applyBorder="1" applyAlignment="1">
      <alignment horizontal="left" vertical="top" wrapText="1"/>
    </xf>
    <xf numFmtId="0" fontId="43" fillId="0" borderId="16" xfId="0" applyFont="1" applyBorder="1" applyAlignment="1">
      <alignment horizontal="center" vertical="top" wrapText="1"/>
    </xf>
    <xf numFmtId="183" fontId="8" fillId="45" borderId="17" xfId="48" applyNumberFormat="1" applyFont="1" applyFill="1" applyBorder="1" applyAlignment="1">
      <alignment horizontal="center" vertical="center"/>
    </xf>
    <xf numFmtId="0" fontId="44" fillId="45" borderId="18" xfId="0" applyFont="1" applyFill="1" applyBorder="1" applyAlignment="1">
      <alignment horizontal="left" vertical="top" wrapText="1"/>
    </xf>
    <xf numFmtId="0" fontId="80" fillId="0" borderId="19" xfId="0" applyFont="1" applyFill="1" applyBorder="1" applyAlignment="1">
      <alignment vertical="top" wrapText="1"/>
    </xf>
    <xf numFmtId="0" fontId="52" fillId="0" borderId="0" xfId="0" applyFont="1" applyFill="1" applyAlignment="1">
      <alignment vertical="top"/>
    </xf>
    <xf numFmtId="0" fontId="75" fillId="0" borderId="0" xfId="0" applyFont="1" applyFill="1" applyAlignment="1">
      <alignment vertical="top"/>
    </xf>
    <xf numFmtId="0" fontId="52" fillId="0" borderId="0" xfId="0" applyFont="1" applyFill="1" applyAlignment="1">
      <alignment horizontal="left" vertical="top"/>
    </xf>
    <xf numFmtId="0" fontId="81" fillId="0" borderId="0" xfId="0" applyFont="1" applyFill="1" applyAlignment="1">
      <alignment vertical="top"/>
    </xf>
    <xf numFmtId="0" fontId="77" fillId="0" borderId="0" xfId="0" applyFont="1" applyFill="1" applyAlignment="1">
      <alignment vertical="top"/>
    </xf>
    <xf numFmtId="0" fontId="50" fillId="0" borderId="0" xfId="0" applyFont="1" applyFill="1" applyAlignment="1">
      <alignment vertical="top" wrapText="1"/>
    </xf>
    <xf numFmtId="183" fontId="43" fillId="0" borderId="0" xfId="0" applyNumberFormat="1" applyFont="1" applyFill="1" applyAlignment="1">
      <alignment vertical="top"/>
    </xf>
    <xf numFmtId="0" fontId="43" fillId="0" borderId="0" xfId="0" applyFont="1" applyFill="1" applyAlignment="1">
      <alignment vertical="top"/>
    </xf>
    <xf numFmtId="0" fontId="76" fillId="0" borderId="0" xfId="0" applyFont="1" applyFill="1" applyAlignment="1">
      <alignment horizontal="left" vertical="top"/>
    </xf>
    <xf numFmtId="0" fontId="50" fillId="0" borderId="0" xfId="0" applyFont="1" applyFill="1" applyAlignment="1">
      <alignment horizontal="left" vertical="top"/>
    </xf>
    <xf numFmtId="0" fontId="0" fillId="0" borderId="0" xfId="0" applyFill="1" applyAlignment="1">
      <alignment horizontal="left" vertical="top"/>
    </xf>
    <xf numFmtId="0" fontId="9" fillId="0" borderId="0" xfId="0" applyFont="1" applyFill="1" applyBorder="1" applyAlignment="1">
      <alignment horizontal="left" vertical="top" wrapText="1"/>
    </xf>
    <xf numFmtId="0" fontId="52" fillId="0" borderId="0" xfId="0" applyFont="1" applyFill="1" applyAlignment="1">
      <alignment vertical="top"/>
    </xf>
    <xf numFmtId="0" fontId="8" fillId="46" borderId="20" xfId="0" applyFont="1" applyFill="1" applyBorder="1" applyAlignment="1">
      <alignment vertical="top" wrapText="1"/>
    </xf>
    <xf numFmtId="0" fontId="8" fillId="46" borderId="15" xfId="0" applyFont="1" applyFill="1" applyBorder="1" applyAlignment="1">
      <alignment vertical="top" wrapText="1"/>
    </xf>
    <xf numFmtId="0" fontId="8" fillId="46" borderId="21" xfId="0" applyFont="1" applyFill="1" applyBorder="1" applyAlignment="1">
      <alignment horizontal="center" vertical="top" wrapText="1"/>
    </xf>
    <xf numFmtId="183" fontId="8" fillId="46" borderId="15" xfId="48" applyNumberFormat="1" applyFont="1" applyFill="1" applyBorder="1" applyAlignment="1">
      <alignment horizontal="center" vertical="center" wrapText="1"/>
    </xf>
    <xf numFmtId="183" fontId="7" fillId="35" borderId="15" xfId="48" applyNumberFormat="1" applyFont="1" applyFill="1" applyBorder="1" applyAlignment="1">
      <alignment horizontal="center" vertical="center" wrapText="1"/>
    </xf>
    <xf numFmtId="0" fontId="8" fillId="46" borderId="22" xfId="0" applyFont="1" applyFill="1" applyBorder="1" applyAlignment="1">
      <alignment vertical="top" wrapText="1"/>
    </xf>
    <xf numFmtId="0" fontId="8" fillId="7" borderId="23" xfId="0" applyFont="1" applyFill="1" applyBorder="1" applyAlignment="1">
      <alignment vertical="center"/>
    </xf>
    <xf numFmtId="0" fontId="8" fillId="7" borderId="13" xfId="0" applyFont="1" applyFill="1" applyBorder="1" applyAlignment="1">
      <alignment horizontal="center" vertical="center"/>
    </xf>
    <xf numFmtId="0" fontId="8" fillId="35" borderId="13" xfId="0" applyFont="1" applyFill="1" applyBorder="1" applyAlignment="1">
      <alignment vertical="center"/>
    </xf>
    <xf numFmtId="0" fontId="8" fillId="7" borderId="24" xfId="0" applyFont="1" applyFill="1" applyBorder="1" applyAlignment="1">
      <alignment vertical="center"/>
    </xf>
    <xf numFmtId="0" fontId="9" fillId="0" borderId="11" xfId="0" applyFont="1" applyFill="1" applyBorder="1" applyAlignment="1">
      <alignment vertical="top" wrapText="1"/>
    </xf>
    <xf numFmtId="0" fontId="9" fillId="0" borderId="11" xfId="0" applyNumberFormat="1" applyFont="1" applyFill="1" applyBorder="1" applyAlignment="1">
      <alignment vertical="center"/>
    </xf>
    <xf numFmtId="0" fontId="9" fillId="0" borderId="11" xfId="0" applyFont="1" applyFill="1" applyBorder="1" applyAlignment="1">
      <alignment vertical="center" wrapText="1"/>
    </xf>
    <xf numFmtId="183" fontId="8" fillId="35" borderId="10" xfId="48" applyNumberFormat="1" applyFont="1" applyFill="1" applyBorder="1" applyAlignment="1">
      <alignment horizontal="center" vertical="center" wrapText="1"/>
    </xf>
    <xf numFmtId="0" fontId="9" fillId="0" borderId="12" xfId="0" applyFont="1" applyFill="1" applyBorder="1" applyAlignment="1">
      <alignment vertical="top" wrapText="1"/>
    </xf>
    <xf numFmtId="0" fontId="9" fillId="0" borderId="12" xfId="0" applyNumberFormat="1" applyFont="1" applyFill="1" applyBorder="1" applyAlignment="1">
      <alignment vertical="center"/>
    </xf>
    <xf numFmtId="0" fontId="9" fillId="0" borderId="12" xfId="0" applyFont="1" applyFill="1" applyBorder="1" applyAlignment="1">
      <alignment vertical="center" wrapText="1"/>
    </xf>
    <xf numFmtId="0" fontId="9" fillId="0" borderId="16" xfId="0" applyFont="1" applyFill="1" applyBorder="1" applyAlignment="1">
      <alignment horizontal="left" vertical="top" wrapText="1"/>
    </xf>
    <xf numFmtId="9" fontId="9" fillId="0" borderId="10" xfId="0" applyNumberFormat="1" applyFont="1" applyBorder="1" applyAlignment="1">
      <alignment horizontal="center" vertical="center"/>
    </xf>
    <xf numFmtId="9" fontId="9" fillId="0" borderId="10" xfId="0" applyNumberFormat="1" applyFont="1" applyBorder="1" applyAlignment="1">
      <alignment horizontal="center" vertical="center" wrapText="1"/>
    </xf>
    <xf numFmtId="183" fontId="8" fillId="35" borderId="10" xfId="48" applyNumberFormat="1" applyFont="1" applyFill="1" applyBorder="1" applyAlignment="1">
      <alignment horizontal="center" vertical="center"/>
    </xf>
    <xf numFmtId="0" fontId="9"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183" fontId="8" fillId="34" borderId="10" xfId="48" applyNumberFormat="1" applyFont="1" applyFill="1" applyBorder="1" applyAlignment="1">
      <alignment horizontal="center" vertical="center" wrapText="1"/>
    </xf>
    <xf numFmtId="183" fontId="8" fillId="34" borderId="10" xfId="48" applyNumberFormat="1" applyFont="1" applyFill="1" applyBorder="1" applyAlignment="1">
      <alignment horizontal="center" vertical="center"/>
    </xf>
    <xf numFmtId="0" fontId="9" fillId="0" borderId="10" xfId="0" applyFont="1" applyBorder="1" applyAlignment="1">
      <alignment vertical="top" wrapText="1"/>
    </xf>
    <xf numFmtId="183" fontId="9" fillId="0" borderId="16" xfId="0" applyNumberFormat="1" applyFont="1" applyFill="1" applyBorder="1" applyAlignment="1">
      <alignment horizontal="left" vertical="top" wrapText="1"/>
    </xf>
    <xf numFmtId="0" fontId="9" fillId="34" borderId="10" xfId="0" applyFont="1" applyFill="1" applyBorder="1" applyAlignment="1">
      <alignment horizontal="left" vertical="top" wrapText="1"/>
    </xf>
    <xf numFmtId="0" fontId="9" fillId="34"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wrapText="1"/>
    </xf>
    <xf numFmtId="0" fontId="9" fillId="0" borderId="11" xfId="0" applyFont="1" applyFill="1" applyBorder="1" applyAlignment="1">
      <alignment horizontal="left" vertical="top" wrapText="1"/>
    </xf>
    <xf numFmtId="183" fontId="8" fillId="0" borderId="11" xfId="48" applyNumberFormat="1" applyFont="1" applyFill="1" applyBorder="1" applyAlignment="1">
      <alignment horizontal="center" vertical="center"/>
    </xf>
    <xf numFmtId="0" fontId="8" fillId="35" borderId="11"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9" fontId="9" fillId="0" borderId="11" xfId="0" applyNumberFormat="1" applyFont="1" applyFill="1" applyBorder="1" applyAlignment="1">
      <alignment horizontal="center" vertical="center" wrapText="1"/>
    </xf>
    <xf numFmtId="0" fontId="9" fillId="0" borderId="25" xfId="0" applyFont="1" applyFill="1" applyBorder="1" applyAlignment="1">
      <alignment vertical="top"/>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183" fontId="9" fillId="0" borderId="10" xfId="48" applyNumberFormat="1" applyFont="1" applyFill="1" applyBorder="1" applyAlignment="1">
      <alignment horizontal="center" vertical="center" wrapText="1"/>
    </xf>
    <xf numFmtId="183" fontId="8" fillId="0" borderId="10" xfId="48" applyNumberFormat="1" applyFont="1" applyFill="1" applyBorder="1" applyAlignment="1">
      <alignment horizontal="center" vertical="center"/>
    </xf>
    <xf numFmtId="0" fontId="9" fillId="0" borderId="16" xfId="0" applyFont="1" applyFill="1" applyBorder="1" applyAlignment="1">
      <alignment horizontal="left" vertical="top" wrapText="1"/>
    </xf>
    <xf numFmtId="183" fontId="9" fillId="0" borderId="16" xfId="0" applyNumberFormat="1" applyFont="1" applyFill="1" applyBorder="1" applyAlignment="1">
      <alignment horizontal="left" vertical="top" wrapText="1"/>
    </xf>
    <xf numFmtId="183" fontId="9" fillId="39" borderId="10" xfId="0" applyNumberFormat="1" applyFont="1" applyFill="1" applyBorder="1" applyAlignment="1">
      <alignment vertical="top" wrapText="1"/>
    </xf>
    <xf numFmtId="183" fontId="9" fillId="39" borderId="16" xfId="0" applyNumberFormat="1" applyFont="1" applyFill="1" applyBorder="1" applyAlignment="1">
      <alignment horizontal="left" vertical="top" wrapText="1"/>
    </xf>
    <xf numFmtId="184" fontId="9" fillId="0" borderId="10"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xf>
    <xf numFmtId="10"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183" fontId="8" fillId="0" borderId="10" xfId="0" applyNumberFormat="1" applyFont="1" applyFill="1" applyBorder="1" applyAlignment="1">
      <alignment horizontal="center" vertical="center"/>
    </xf>
    <xf numFmtId="192" fontId="8" fillId="0" borderId="10" xfId="48" applyNumberFormat="1" applyFont="1" applyFill="1" applyBorder="1" applyAlignment="1">
      <alignment horizontal="center" vertical="center"/>
    </xf>
    <xf numFmtId="41" fontId="8" fillId="0" borderId="10" xfId="49" applyFont="1" applyFill="1" applyBorder="1" applyAlignment="1">
      <alignment horizontal="center" vertical="center"/>
    </xf>
    <xf numFmtId="0" fontId="8" fillId="35" borderId="10" xfId="0" applyFont="1" applyFill="1" applyBorder="1" applyAlignment="1">
      <alignment horizontal="center" vertical="center"/>
    </xf>
    <xf numFmtId="0" fontId="8" fillId="39" borderId="10" xfId="0" applyFont="1" applyFill="1" applyBorder="1" applyAlignment="1">
      <alignment horizontal="center" vertical="center"/>
    </xf>
    <xf numFmtId="183" fontId="9" fillId="39" borderId="10" xfId="0" applyNumberFormat="1" applyFont="1" applyFill="1" applyBorder="1" applyAlignment="1">
      <alignment vertical="top"/>
    </xf>
    <xf numFmtId="183" fontId="8" fillId="45" borderId="10" xfId="48" applyNumberFormat="1" applyFont="1" applyFill="1" applyBorder="1" applyAlignment="1">
      <alignment horizontal="center" vertical="center"/>
    </xf>
    <xf numFmtId="183" fontId="9" fillId="45" borderId="10" xfId="0" applyNumberFormat="1" applyFont="1" applyFill="1" applyBorder="1" applyAlignment="1">
      <alignment vertical="center"/>
    </xf>
    <xf numFmtId="0" fontId="9" fillId="45" borderId="16" xfId="0" applyFont="1" applyFill="1" applyBorder="1" applyAlignment="1">
      <alignment horizontal="left" vertical="top" wrapText="1"/>
    </xf>
    <xf numFmtId="183" fontId="9" fillId="0" borderId="10" xfId="48" applyNumberFormat="1" applyFont="1" applyFill="1" applyBorder="1" applyAlignment="1">
      <alignment horizontal="center" vertical="center" wrapText="1"/>
    </xf>
    <xf numFmtId="9" fontId="9" fillId="0" borderId="10" xfId="55" applyFont="1" applyFill="1" applyBorder="1" applyAlignment="1">
      <alignment horizontal="center" vertical="center" wrapText="1"/>
    </xf>
    <xf numFmtId="9" fontId="8" fillId="0" borderId="10" xfId="55" applyFont="1" applyFill="1" applyBorder="1" applyAlignment="1">
      <alignment horizontal="center" vertical="center"/>
    </xf>
    <xf numFmtId="183" fontId="8" fillId="0" borderId="10" xfId="55" applyNumberFormat="1" applyFont="1" applyFill="1" applyBorder="1" applyAlignment="1">
      <alignment horizontal="center" vertical="center"/>
    </xf>
    <xf numFmtId="183" fontId="9" fillId="0" borderId="11" xfId="48" applyNumberFormat="1" applyFont="1" applyFill="1" applyBorder="1" applyAlignment="1">
      <alignment horizontal="center" vertical="center" wrapText="1"/>
    </xf>
    <xf numFmtId="9" fontId="9" fillId="0" borderId="11" xfId="55" applyFont="1" applyFill="1" applyBorder="1" applyAlignment="1">
      <alignment horizontal="center" vertical="center" wrapText="1"/>
    </xf>
    <xf numFmtId="41" fontId="8" fillId="0" borderId="10" xfId="49" applyFont="1" applyFill="1" applyBorder="1" applyAlignment="1">
      <alignment horizontal="center" vertical="center" wrapText="1"/>
    </xf>
    <xf numFmtId="9" fontId="9" fillId="0" borderId="11" xfId="55" applyFont="1" applyFill="1" applyBorder="1" applyAlignment="1">
      <alignment horizontal="center" vertical="center"/>
    </xf>
    <xf numFmtId="9" fontId="8" fillId="0" borderId="10" xfId="0" applyNumberFormat="1" applyFont="1" applyFill="1" applyBorder="1" applyAlignment="1">
      <alignment horizontal="center" vertical="center"/>
    </xf>
    <xf numFmtId="183" fontId="8" fillId="35" borderId="11" xfId="48" applyNumberFormat="1" applyFont="1" applyFill="1" applyBorder="1" applyAlignment="1">
      <alignment horizontal="center" vertical="center"/>
    </xf>
    <xf numFmtId="183" fontId="8" fillId="0" borderId="10" xfId="55" applyNumberFormat="1" applyFont="1" applyFill="1" applyBorder="1" applyAlignment="1">
      <alignment horizontal="center" vertical="center" wrapText="1"/>
    </xf>
    <xf numFmtId="0" fontId="9" fillId="0" borderId="11" xfId="0" applyFont="1" applyFill="1" applyBorder="1" applyAlignment="1">
      <alignment horizontal="left" vertical="top" wrapText="1"/>
    </xf>
    <xf numFmtId="0" fontId="9" fillId="0" borderId="10" xfId="55"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183" fontId="9" fillId="0" borderId="10" xfId="0" applyNumberFormat="1" applyFont="1" applyFill="1" applyBorder="1" applyAlignment="1">
      <alignment vertical="top" wrapText="1"/>
    </xf>
    <xf numFmtId="183" fontId="47" fillId="39" borderId="10" xfId="48" applyNumberFormat="1" applyFont="1" applyFill="1" applyBorder="1" applyAlignment="1">
      <alignment horizontal="left" vertical="center"/>
    </xf>
    <xf numFmtId="3" fontId="9" fillId="39" borderId="10" xfId="0" applyNumberFormat="1" applyFont="1" applyFill="1" applyBorder="1" applyAlignment="1">
      <alignment horizontal="left" vertical="top" wrapText="1"/>
    </xf>
    <xf numFmtId="183" fontId="9" fillId="0" borderId="16" xfId="0" applyNumberFormat="1" applyFont="1" applyBorder="1" applyAlignment="1">
      <alignment horizontal="left" vertical="top" wrapText="1"/>
    </xf>
    <xf numFmtId="0" fontId="9" fillId="0" borderId="0" xfId="0" applyFont="1" applyBorder="1" applyAlignment="1">
      <alignment vertical="top"/>
    </xf>
    <xf numFmtId="0" fontId="9" fillId="0" borderId="16" xfId="0" applyFont="1" applyBorder="1" applyAlignment="1">
      <alignment horizontal="left" vertical="top" wrapText="1"/>
    </xf>
    <xf numFmtId="41" fontId="8" fillId="0" borderId="10" xfId="0" applyNumberFormat="1" applyFont="1" applyFill="1" applyBorder="1" applyAlignment="1">
      <alignment horizontal="center" vertical="center" wrapText="1"/>
    </xf>
    <xf numFmtId="9" fontId="9" fillId="0" borderId="10" xfId="55" applyFont="1" applyFill="1" applyBorder="1" applyAlignment="1">
      <alignment horizontal="center" vertical="center"/>
    </xf>
    <xf numFmtId="0" fontId="9" fillId="0" borderId="12" xfId="0" applyFont="1" applyFill="1" applyBorder="1" applyAlignment="1">
      <alignment horizontal="center" vertical="top" wrapText="1"/>
    </xf>
    <xf numFmtId="0" fontId="9" fillId="0" borderId="12" xfId="0" applyFont="1" applyFill="1" applyBorder="1" applyAlignment="1">
      <alignment horizontal="left" vertical="top" wrapText="1"/>
    </xf>
    <xf numFmtId="183" fontId="9" fillId="0" borderId="12" xfId="0" applyNumberFormat="1"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34" borderId="16"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183" fontId="8" fillId="39" borderId="10" xfId="48" applyNumberFormat="1" applyFont="1" applyFill="1" applyBorder="1" applyAlignment="1">
      <alignment horizontal="left" vertical="center"/>
    </xf>
    <xf numFmtId="183" fontId="9" fillId="39" borderId="10" xfId="0" applyNumberFormat="1" applyFont="1" applyFill="1" applyBorder="1" applyAlignment="1">
      <alignment horizontal="left" vertical="top" wrapText="1"/>
    </xf>
    <xf numFmtId="183" fontId="8" fillId="45" borderId="10" xfId="48" applyNumberFormat="1" applyFont="1" applyFill="1" applyBorder="1" applyAlignment="1">
      <alignment horizontal="left" vertical="top"/>
    </xf>
    <xf numFmtId="183" fontId="9" fillId="45" borderId="10" xfId="48" applyNumberFormat="1" applyFont="1" applyFill="1" applyBorder="1" applyAlignment="1">
      <alignment horizontal="center" vertical="center"/>
    </xf>
    <xf numFmtId="0" fontId="9" fillId="45" borderId="10" xfId="0" applyFont="1" applyFill="1" applyBorder="1" applyAlignment="1">
      <alignment/>
    </xf>
    <xf numFmtId="183" fontId="9" fillId="45" borderId="10" xfId="0" applyNumberFormat="1" applyFont="1" applyFill="1" applyBorder="1" applyAlignment="1">
      <alignment/>
    </xf>
    <xf numFmtId="0" fontId="9" fillId="45" borderId="16" xfId="0" applyFont="1" applyFill="1" applyBorder="1" applyAlignment="1">
      <alignment horizontal="left" wrapText="1"/>
    </xf>
    <xf numFmtId="0" fontId="9" fillId="7" borderId="16" xfId="0" applyFont="1" applyFill="1" applyBorder="1" applyAlignment="1">
      <alignment horizontal="left" wrapText="1"/>
    </xf>
    <xf numFmtId="183" fontId="9" fillId="0" borderId="10" xfId="48" applyNumberFormat="1" applyFont="1" applyFill="1" applyBorder="1" applyAlignment="1">
      <alignment horizontal="center" vertical="center"/>
    </xf>
    <xf numFmtId="183" fontId="9" fillId="0" borderId="10" xfId="48" applyNumberFormat="1" applyFont="1" applyFill="1" applyBorder="1" applyAlignment="1">
      <alignment horizontal="left" vertical="top" wrapText="1"/>
    </xf>
    <xf numFmtId="0" fontId="9" fillId="0" borderId="10" xfId="0" applyNumberFormat="1" applyFont="1" applyFill="1" applyBorder="1" applyAlignment="1">
      <alignment horizontal="center" vertical="center" wrapText="1"/>
    </xf>
    <xf numFmtId="0" fontId="9" fillId="0" borderId="16" xfId="0" applyFont="1" applyFill="1" applyBorder="1" applyAlignment="1">
      <alignment vertical="top" wrapText="1"/>
    </xf>
    <xf numFmtId="49" fontId="9" fillId="0" borderId="10"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27" xfId="0" applyFont="1" applyFill="1" applyBorder="1" applyAlignment="1">
      <alignment horizontal="center" vertical="center" wrapText="1"/>
    </xf>
    <xf numFmtId="9" fontId="9" fillId="0" borderId="27"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27" xfId="0" applyFont="1" applyFill="1" applyBorder="1" applyAlignment="1">
      <alignment horizontal="left" vertical="center" wrapText="1"/>
    </xf>
    <xf numFmtId="0" fontId="9" fillId="0" borderId="27" xfId="0" applyFont="1" applyFill="1" applyBorder="1" applyAlignment="1">
      <alignment horizontal="left" vertical="center" wrapText="1"/>
    </xf>
    <xf numFmtId="3" fontId="9" fillId="0" borderId="10" xfId="0" applyNumberFormat="1" applyFont="1" applyFill="1" applyBorder="1" applyAlignment="1">
      <alignment horizontal="center" vertical="center"/>
    </xf>
    <xf numFmtId="0" fontId="8" fillId="34" borderId="10" xfId="0" applyFont="1" applyFill="1" applyBorder="1" applyAlignment="1">
      <alignment horizontal="center" vertical="center"/>
    </xf>
    <xf numFmtId="0" fontId="8" fillId="39" borderId="10" xfId="0" applyFont="1" applyFill="1" applyBorder="1" applyAlignment="1">
      <alignment horizontal="left" vertical="center"/>
    </xf>
    <xf numFmtId="0" fontId="9" fillId="39" borderId="10" xfId="0" applyFont="1" applyFill="1" applyBorder="1" applyAlignment="1">
      <alignment horizontal="left" vertical="top" wrapText="1"/>
    </xf>
    <xf numFmtId="0" fontId="9" fillId="39" borderId="16" xfId="0" applyFont="1" applyFill="1" applyBorder="1" applyAlignment="1">
      <alignment horizontal="left" vertical="top" wrapText="1"/>
    </xf>
    <xf numFmtId="183" fontId="8" fillId="0" borderId="10" xfId="48" applyNumberFormat="1" applyFont="1" applyBorder="1" applyAlignment="1">
      <alignment horizontal="center" vertical="center"/>
    </xf>
    <xf numFmtId="0" fontId="9" fillId="0" borderId="10" xfId="0" applyFont="1" applyFill="1" applyBorder="1" applyAlignment="1">
      <alignment horizontal="center" vertical="top"/>
    </xf>
    <xf numFmtId="9" fontId="9" fillId="0" borderId="10" xfId="0" applyNumberFormat="1" applyFont="1" applyFill="1" applyBorder="1" applyAlignment="1">
      <alignment horizontal="right" vertical="top" wrapText="1"/>
    </xf>
    <xf numFmtId="183" fontId="8" fillId="0" borderId="10" xfId="48" applyNumberFormat="1" applyFont="1" applyFill="1" applyBorder="1" applyAlignment="1">
      <alignment vertical="center" wrapText="1"/>
    </xf>
    <xf numFmtId="0" fontId="9" fillId="35" borderId="10" xfId="0" applyFont="1" applyFill="1" applyBorder="1" applyAlignment="1">
      <alignment vertical="center"/>
    </xf>
    <xf numFmtId="0" fontId="9" fillId="0" borderId="12" xfId="0" applyFont="1" applyBorder="1" applyAlignment="1">
      <alignment horizontal="center" vertical="top" wrapText="1"/>
    </xf>
    <xf numFmtId="0" fontId="9" fillId="0" borderId="19" xfId="0" applyFont="1" applyFill="1" applyBorder="1" applyAlignment="1">
      <alignment horizontal="left" vertical="top" wrapText="1"/>
    </xf>
    <xf numFmtId="183" fontId="8" fillId="0" borderId="10" xfId="48" applyNumberFormat="1" applyFont="1" applyFill="1" applyBorder="1" applyAlignment="1">
      <alignment horizontal="right" vertical="center" wrapText="1"/>
    </xf>
    <xf numFmtId="0" fontId="9" fillId="35" borderId="10" xfId="0" applyFont="1" applyFill="1" applyBorder="1" applyAlignment="1">
      <alignment horizontal="right" vertical="center"/>
    </xf>
    <xf numFmtId="0" fontId="9" fillId="34" borderId="16" xfId="0" applyFont="1" applyFill="1" applyBorder="1" applyAlignment="1">
      <alignment horizontal="left" vertical="center" wrapText="1"/>
    </xf>
    <xf numFmtId="0" fontId="9" fillId="39" borderId="10" xfId="0" applyFont="1" applyFill="1" applyBorder="1" applyAlignment="1">
      <alignment horizontal="left" vertical="center"/>
    </xf>
    <xf numFmtId="0" fontId="9" fillId="39" borderId="16" xfId="0" applyFont="1" applyFill="1" applyBorder="1" applyAlignment="1">
      <alignment horizontal="left" vertical="center" wrapText="1"/>
    </xf>
    <xf numFmtId="0" fontId="8" fillId="45" borderId="10" xfId="0" applyFont="1" applyFill="1" applyBorder="1" applyAlignment="1">
      <alignment horizontal="center" vertical="center"/>
    </xf>
    <xf numFmtId="0" fontId="8" fillId="45" borderId="10" xfId="0" applyFont="1" applyFill="1" applyBorder="1" applyAlignment="1">
      <alignment horizontal="left" vertical="top"/>
    </xf>
    <xf numFmtId="183" fontId="9" fillId="45" borderId="10" xfId="0" applyNumberFormat="1" applyFont="1" applyFill="1" applyBorder="1" applyAlignment="1">
      <alignment/>
    </xf>
    <xf numFmtId="0" fontId="9" fillId="45" borderId="16" xfId="0" applyFont="1" applyFill="1" applyBorder="1" applyAlignment="1">
      <alignment vertical="top" wrapText="1"/>
    </xf>
    <xf numFmtId="0" fontId="9" fillId="0" borderId="10" xfId="0" applyFont="1" applyFill="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183" fontId="8" fillId="35" borderId="11" xfId="48" applyNumberFormat="1" applyFont="1" applyFill="1" applyBorder="1" applyAlignment="1">
      <alignment horizontal="center" vertical="center" wrapText="1"/>
    </xf>
    <xf numFmtId="183" fontId="8" fillId="0" borderId="12" xfId="48" applyNumberFormat="1" applyFont="1" applyFill="1" applyBorder="1" applyAlignment="1">
      <alignment horizontal="center" vertical="center"/>
    </xf>
    <xf numFmtId="0" fontId="8" fillId="35" borderId="12" xfId="0" applyFont="1" applyFill="1" applyBorder="1" applyAlignment="1">
      <alignment horizontal="center" vertical="center"/>
    </xf>
    <xf numFmtId="0" fontId="9" fillId="0" borderId="12" xfId="0" applyFont="1" applyBorder="1" applyAlignment="1">
      <alignment horizontal="left" vertical="top" wrapText="1"/>
    </xf>
    <xf numFmtId="0" fontId="8" fillId="0" borderId="28" xfId="0" applyFont="1" applyFill="1" applyBorder="1" applyAlignment="1">
      <alignment vertical="top" wrapText="1"/>
    </xf>
    <xf numFmtId="0" fontId="8" fillId="0" borderId="29" xfId="0" applyFont="1" applyFill="1" applyBorder="1" applyAlignment="1">
      <alignment vertical="top" wrapText="1"/>
    </xf>
    <xf numFmtId="0" fontId="9" fillId="0" borderId="10" xfId="0" applyFont="1" applyBorder="1" applyAlignment="1">
      <alignment vertical="top"/>
    </xf>
    <xf numFmtId="183" fontId="9" fillId="39" borderId="10" xfId="0" applyNumberFormat="1" applyFont="1" applyFill="1" applyBorder="1" applyAlignment="1">
      <alignment horizontal="left" vertical="top"/>
    </xf>
    <xf numFmtId="183" fontId="9" fillId="39" borderId="16" xfId="0" applyNumberFormat="1" applyFont="1" applyFill="1" applyBorder="1" applyAlignment="1">
      <alignment horizontal="left" vertical="top"/>
    </xf>
    <xf numFmtId="0" fontId="8" fillId="45" borderId="10" xfId="0" applyFont="1" applyFill="1" applyBorder="1" applyAlignment="1">
      <alignment horizontal="left"/>
    </xf>
    <xf numFmtId="183" fontId="9" fillId="0" borderId="10" xfId="48" applyNumberFormat="1" applyFont="1" applyFill="1" applyBorder="1" applyAlignment="1">
      <alignment horizontal="left" vertical="top"/>
    </xf>
    <xf numFmtId="183" fontId="9" fillId="0" borderId="10" xfId="0" applyNumberFormat="1" applyFont="1" applyFill="1" applyBorder="1" applyAlignment="1">
      <alignment vertical="top"/>
    </xf>
    <xf numFmtId="183" fontId="7" fillId="39" borderId="10" xfId="0" applyNumberFormat="1" applyFont="1" applyFill="1" applyBorder="1" applyAlignment="1">
      <alignment horizontal="center" vertical="center"/>
    </xf>
    <xf numFmtId="0" fontId="9" fillId="39" borderId="10" xfId="0" applyFont="1" applyFill="1" applyBorder="1" applyAlignment="1">
      <alignment vertical="top" wrapText="1"/>
    </xf>
    <xf numFmtId="0" fontId="9" fillId="0" borderId="10" xfId="48" applyNumberFormat="1" applyFont="1" applyFill="1" applyBorder="1" applyAlignment="1">
      <alignment horizontal="center" vertical="center" wrapText="1"/>
    </xf>
    <xf numFmtId="183" fontId="8" fillId="0" borderId="16" xfId="48" applyNumberFormat="1" applyFont="1" applyFill="1" applyBorder="1" applyAlignment="1">
      <alignment horizontal="center" vertical="center"/>
    </xf>
    <xf numFmtId="0" fontId="9" fillId="0" borderId="10" xfId="55" applyNumberFormat="1" applyFont="1" applyFill="1" applyBorder="1" applyAlignment="1">
      <alignment horizontal="center" vertical="center"/>
    </xf>
    <xf numFmtId="183" fontId="7" fillId="39" borderId="10" xfId="0" applyNumberFormat="1" applyFont="1" applyFill="1" applyBorder="1" applyAlignment="1">
      <alignment horizontal="left" vertical="center"/>
    </xf>
    <xf numFmtId="183" fontId="8" fillId="45" borderId="10" xfId="48" applyNumberFormat="1" applyFont="1" applyFill="1" applyBorder="1" applyAlignment="1">
      <alignment horizontal="left"/>
    </xf>
    <xf numFmtId="183" fontId="7" fillId="45" borderId="10" xfId="0" applyNumberFormat="1" applyFont="1" applyFill="1" applyBorder="1" applyAlignment="1">
      <alignment horizontal="center" vertical="center"/>
    </xf>
    <xf numFmtId="0" fontId="8" fillId="0" borderId="30" xfId="0" applyFont="1" applyFill="1" applyBorder="1" applyAlignment="1">
      <alignment vertical="top" wrapText="1"/>
    </xf>
    <xf numFmtId="1" fontId="8" fillId="35" borderId="10" xfId="0" applyNumberFormat="1" applyFont="1" applyFill="1" applyBorder="1" applyAlignment="1">
      <alignment horizontal="center" vertical="center"/>
    </xf>
    <xf numFmtId="183" fontId="8" fillId="35" borderId="10" xfId="0" applyNumberFormat="1" applyFont="1" applyFill="1" applyBorder="1" applyAlignment="1">
      <alignment horizontal="center" vertical="center"/>
    </xf>
    <xf numFmtId="194" fontId="8" fillId="0" borderId="10" xfId="48" applyNumberFormat="1" applyFont="1" applyFill="1" applyBorder="1" applyAlignment="1">
      <alignment horizontal="center" vertical="center" wrapText="1"/>
    </xf>
    <xf numFmtId="189" fontId="8" fillId="0" borderId="10" xfId="48" applyNumberFormat="1" applyFont="1" applyFill="1" applyBorder="1" applyAlignment="1">
      <alignment horizontal="center" vertical="center" wrapText="1"/>
    </xf>
    <xf numFmtId="0" fontId="8" fillId="0" borderId="31" xfId="0" applyFont="1" applyFill="1" applyBorder="1" applyAlignment="1">
      <alignment vertical="top" wrapText="1"/>
    </xf>
    <xf numFmtId="189" fontId="8" fillId="39" borderId="10" xfId="48" applyNumberFormat="1" applyFont="1" applyFill="1" applyBorder="1" applyAlignment="1">
      <alignment horizontal="left" vertical="center" wrapText="1"/>
    </xf>
    <xf numFmtId="182" fontId="9" fillId="0" borderId="10" xfId="48" applyNumberFormat="1" applyFont="1" applyFill="1" applyBorder="1" applyAlignment="1">
      <alignment horizontal="center" vertical="center"/>
    </xf>
    <xf numFmtId="183" fontId="9" fillId="45" borderId="10" xfId="0" applyNumberFormat="1" applyFont="1" applyFill="1" applyBorder="1" applyAlignment="1">
      <alignment vertical="top"/>
    </xf>
    <xf numFmtId="1" fontId="9" fillId="0" borderId="10" xfId="0" applyNumberFormat="1" applyFont="1" applyFill="1" applyBorder="1" applyAlignment="1">
      <alignment horizontal="center" vertical="center" wrapText="1"/>
    </xf>
    <xf numFmtId="183" fontId="9" fillId="0" borderId="10" xfId="0" applyNumberFormat="1" applyFont="1" applyBorder="1" applyAlignment="1">
      <alignment vertical="top" wrapText="1"/>
    </xf>
    <xf numFmtId="1" fontId="8" fillId="35" borderId="10" xfId="48"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Border="1" applyAlignment="1">
      <alignment horizontal="center" vertical="top" wrapText="1"/>
    </xf>
    <xf numFmtId="183" fontId="8" fillId="0" borderId="12" xfId="48" applyNumberFormat="1" applyFont="1" applyBorder="1" applyAlignment="1">
      <alignment vertical="center"/>
    </xf>
    <xf numFmtId="0" fontId="8" fillId="39" borderId="10" xfId="0" applyFont="1" applyFill="1" applyBorder="1" applyAlignment="1">
      <alignment horizontal="left" vertical="center" wrapText="1"/>
    </xf>
    <xf numFmtId="1" fontId="8" fillId="39" borderId="12" xfId="48" applyNumberFormat="1" applyFont="1" applyFill="1" applyBorder="1" applyAlignment="1">
      <alignment horizontal="left" vertical="center" wrapText="1"/>
    </xf>
    <xf numFmtId="0" fontId="9" fillId="35" borderId="10" xfId="0" applyFont="1" applyFill="1" applyBorder="1" applyAlignment="1">
      <alignment horizontal="left" vertical="top" wrapText="1"/>
    </xf>
    <xf numFmtId="183" fontId="9" fillId="0" borderId="10" xfId="0" applyNumberFormat="1" applyFont="1" applyBorder="1" applyAlignment="1">
      <alignment vertical="top"/>
    </xf>
    <xf numFmtId="0" fontId="9" fillId="0" borderId="16" xfId="0" applyFont="1" applyBorder="1" applyAlignment="1">
      <alignment vertical="top" wrapText="1"/>
    </xf>
    <xf numFmtId="183" fontId="9" fillId="34" borderId="10" xfId="0" applyNumberFormat="1" applyFont="1" applyFill="1" applyBorder="1" applyAlignment="1">
      <alignment vertical="top" wrapText="1"/>
    </xf>
    <xf numFmtId="0" fontId="9" fillId="0" borderId="10" xfId="0" applyFont="1" applyBorder="1" applyAlignment="1">
      <alignment horizontal="left" vertical="center" wrapText="1"/>
    </xf>
    <xf numFmtId="2" fontId="9" fillId="0" borderId="10" xfId="0" applyNumberFormat="1" applyFont="1" applyBorder="1" applyAlignment="1">
      <alignment horizontal="center" vertical="center" wrapText="1"/>
    </xf>
    <xf numFmtId="0" fontId="8" fillId="45" borderId="32" xfId="0" applyFont="1" applyFill="1" applyBorder="1" applyAlignment="1">
      <alignment vertical="top"/>
    </xf>
    <xf numFmtId="0" fontId="8" fillId="45" borderId="17" xfId="0" applyFont="1" applyFill="1" applyBorder="1" applyAlignment="1">
      <alignment vertical="top"/>
    </xf>
    <xf numFmtId="0" fontId="8" fillId="45" borderId="17" xfId="0" applyFont="1" applyFill="1" applyBorder="1" applyAlignment="1">
      <alignment horizontal="left" vertical="top"/>
    </xf>
    <xf numFmtId="0" fontId="8" fillId="45" borderId="17"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vertical="center"/>
    </xf>
    <xf numFmtId="183" fontId="9" fillId="0" borderId="0" xfId="48" applyNumberFormat="1" applyFont="1" applyAlignment="1">
      <alignment horizontal="center" vertical="center"/>
    </xf>
    <xf numFmtId="183" fontId="9" fillId="34" borderId="0" xfId="48" applyNumberFormat="1" applyFont="1" applyFill="1" applyAlignment="1">
      <alignment horizontal="center" vertical="center"/>
    </xf>
    <xf numFmtId="183" fontId="8" fillId="0" borderId="0" xfId="48" applyNumberFormat="1" applyFont="1" applyAlignment="1">
      <alignment horizontal="center" vertical="center"/>
    </xf>
    <xf numFmtId="0" fontId="9" fillId="0" borderId="0" xfId="0" applyFont="1" applyAlignment="1">
      <alignment horizontal="left" wrapText="1"/>
    </xf>
    <xf numFmtId="183" fontId="9" fillId="0" borderId="0" xfId="0" applyNumberFormat="1" applyFont="1" applyAlignment="1">
      <alignment/>
    </xf>
    <xf numFmtId="183" fontId="37" fillId="0" borderId="0" xfId="48" applyNumberFormat="1" applyFont="1" applyAlignment="1">
      <alignment horizontal="center" vertical="center"/>
    </xf>
    <xf numFmtId="0" fontId="37" fillId="39" borderId="33" xfId="0" applyFont="1" applyFill="1" applyBorder="1" applyAlignment="1">
      <alignment horizontal="left" vertical="top" wrapText="1"/>
    </xf>
    <xf numFmtId="0" fontId="37" fillId="39" borderId="34" xfId="0" applyFont="1" applyFill="1" applyBorder="1" applyAlignment="1">
      <alignment horizontal="left" vertical="top" wrapText="1"/>
    </xf>
    <xf numFmtId="0" fontId="37" fillId="39" borderId="19" xfId="0" applyFont="1" applyFill="1" applyBorder="1" applyAlignment="1">
      <alignment horizontal="left" vertical="top" wrapText="1"/>
    </xf>
    <xf numFmtId="0" fontId="9" fillId="0" borderId="27" xfId="0" applyFont="1" applyFill="1" applyBorder="1" applyAlignment="1">
      <alignment horizontal="center" vertical="top" wrapText="1"/>
    </xf>
    <xf numFmtId="0" fontId="9" fillId="0" borderId="12" xfId="0" applyFont="1" applyFill="1" applyBorder="1" applyAlignment="1">
      <alignment horizontal="center" vertical="top" wrapText="1"/>
    </xf>
    <xf numFmtId="183" fontId="8" fillId="0" borderId="11" xfId="48" applyNumberFormat="1" applyFont="1" applyFill="1" applyBorder="1" applyAlignment="1">
      <alignment horizontal="center" vertical="center" wrapText="1"/>
    </xf>
    <xf numFmtId="183" fontId="8" fillId="0" borderId="12" xfId="48" applyNumberFormat="1" applyFont="1" applyFill="1" applyBorder="1" applyAlignment="1">
      <alignment horizontal="center" vertical="center" wrapText="1"/>
    </xf>
    <xf numFmtId="183" fontId="8" fillId="0" borderId="11" xfId="48" applyNumberFormat="1" applyFont="1" applyFill="1" applyBorder="1" applyAlignment="1">
      <alignment horizontal="center" vertical="center"/>
    </xf>
    <xf numFmtId="183" fontId="8" fillId="0" borderId="12" xfId="48" applyNumberFormat="1"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left" vertical="top" wrapText="1"/>
    </xf>
    <xf numFmtId="0" fontId="9" fillId="0" borderId="27" xfId="0" applyFont="1" applyBorder="1" applyAlignment="1">
      <alignment horizontal="left" vertical="top" wrapText="1"/>
    </xf>
    <xf numFmtId="0" fontId="9" fillId="0" borderId="12" xfId="0" applyFont="1" applyBorder="1" applyAlignment="1">
      <alignment horizontal="left" vertical="top" wrapText="1"/>
    </xf>
    <xf numFmtId="0" fontId="9" fillId="0" borderId="31" xfId="0" applyFont="1" applyFill="1" applyBorder="1" applyAlignment="1">
      <alignment horizontal="left" vertical="top" wrapText="1"/>
    </xf>
    <xf numFmtId="0" fontId="8"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9" fontId="9" fillId="0" borderId="11" xfId="0" applyNumberFormat="1" applyFont="1" applyFill="1" applyBorder="1" applyAlignment="1">
      <alignment horizontal="center" vertical="center" wrapText="1"/>
    </xf>
    <xf numFmtId="9" fontId="9" fillId="0" borderId="27" xfId="0" applyNumberFormat="1" applyFont="1" applyFill="1" applyBorder="1" applyAlignment="1">
      <alignment horizontal="center" vertical="center" wrapText="1"/>
    </xf>
    <xf numFmtId="9" fontId="9" fillId="0" borderId="12" xfId="0" applyNumberFormat="1" applyFont="1" applyFill="1" applyBorder="1" applyAlignment="1">
      <alignment horizontal="center" vertical="center" wrapText="1"/>
    </xf>
    <xf numFmtId="0" fontId="9" fillId="0" borderId="27" xfId="0" applyFont="1" applyFill="1" applyBorder="1" applyAlignment="1">
      <alignment horizontal="left" vertical="top" wrapText="1"/>
    </xf>
    <xf numFmtId="183" fontId="8" fillId="0" borderId="27" xfId="48" applyNumberFormat="1" applyFont="1" applyFill="1" applyBorder="1" applyAlignment="1">
      <alignment horizontal="center" vertical="center" wrapText="1"/>
    </xf>
    <xf numFmtId="183" fontId="8" fillId="35" borderId="11" xfId="48" applyNumberFormat="1" applyFont="1" applyFill="1" applyBorder="1" applyAlignment="1">
      <alignment horizontal="center" vertical="center"/>
    </xf>
    <xf numFmtId="183" fontId="8" fillId="35" borderId="27" xfId="48" applyNumberFormat="1" applyFont="1" applyFill="1" applyBorder="1" applyAlignment="1">
      <alignment horizontal="center" vertical="center"/>
    </xf>
    <xf numFmtId="183" fontId="8" fillId="35" borderId="12" xfId="48" applyNumberFormat="1" applyFont="1" applyFill="1" applyBorder="1" applyAlignment="1">
      <alignment horizontal="center" vertical="center"/>
    </xf>
    <xf numFmtId="0" fontId="37" fillId="39" borderId="33" xfId="0" applyFont="1" applyFill="1" applyBorder="1" applyAlignment="1">
      <alignment horizontal="center" vertical="top" wrapText="1"/>
    </xf>
    <xf numFmtId="0" fontId="37" fillId="39" borderId="34" xfId="0" applyFont="1" applyFill="1" applyBorder="1" applyAlignment="1">
      <alignment horizontal="center" vertical="top" wrapText="1"/>
    </xf>
    <xf numFmtId="0" fontId="37" fillId="39" borderId="19" xfId="0" applyFont="1" applyFill="1" applyBorder="1" applyAlignment="1">
      <alignment horizontal="center" vertical="top"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28"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183" fontId="9" fillId="0" borderId="11" xfId="48" applyNumberFormat="1" applyFont="1" applyFill="1" applyBorder="1" applyAlignment="1">
      <alignment horizontal="center" vertical="center" wrapText="1"/>
    </xf>
    <xf numFmtId="183" fontId="9" fillId="0" borderId="27" xfId="48" applyNumberFormat="1" applyFont="1" applyFill="1" applyBorder="1" applyAlignment="1">
      <alignment horizontal="center" vertical="center" wrapText="1"/>
    </xf>
    <xf numFmtId="183" fontId="9" fillId="0" borderId="12" xfId="48"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27" xfId="0" applyFont="1" applyFill="1" applyBorder="1" applyAlignment="1">
      <alignment horizontal="center" vertical="center" wrapText="1"/>
    </xf>
    <xf numFmtId="183" fontId="9" fillId="0" borderId="11" xfId="48" applyNumberFormat="1" applyFont="1" applyFill="1" applyBorder="1" applyAlignment="1">
      <alignment horizontal="center" vertical="center"/>
    </xf>
    <xf numFmtId="183" fontId="9" fillId="0" borderId="27" xfId="48" applyNumberFormat="1" applyFont="1" applyFill="1" applyBorder="1" applyAlignment="1">
      <alignment horizontal="center" vertical="center"/>
    </xf>
    <xf numFmtId="183" fontId="9" fillId="0" borderId="12" xfId="48"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30"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27" xfId="0" applyFont="1" applyBorder="1" applyAlignment="1">
      <alignment horizontal="center" vertical="top" wrapText="1"/>
    </xf>
    <xf numFmtId="0" fontId="8" fillId="0" borderId="12" xfId="0" applyFont="1" applyBorder="1" applyAlignment="1">
      <alignment horizontal="center" vertical="top" wrapText="1"/>
    </xf>
    <xf numFmtId="0" fontId="9" fillId="0" borderId="30"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8" fillId="45" borderId="31" xfId="0" applyFont="1" applyFill="1" applyBorder="1" applyAlignment="1">
      <alignment horizontal="left" vertical="top"/>
    </xf>
    <xf numFmtId="0" fontId="8" fillId="45" borderId="10" xfId="0" applyFont="1" applyFill="1" applyBorder="1" applyAlignment="1">
      <alignment horizontal="left" vertical="top"/>
    </xf>
    <xf numFmtId="0" fontId="8" fillId="7" borderId="33" xfId="0" applyFont="1" applyFill="1" applyBorder="1" applyAlignment="1">
      <alignment horizontal="left" vertical="center" wrapText="1"/>
    </xf>
    <xf numFmtId="0" fontId="8" fillId="7" borderId="34" xfId="0" applyFont="1" applyFill="1" applyBorder="1" applyAlignment="1">
      <alignment horizontal="left" vertical="center" wrapText="1"/>
    </xf>
    <xf numFmtId="0" fontId="8" fillId="7" borderId="38" xfId="0" applyFont="1" applyFill="1" applyBorder="1" applyAlignment="1">
      <alignment horizontal="left" vertical="center" wrapText="1"/>
    </xf>
    <xf numFmtId="0" fontId="8" fillId="39" borderId="33" xfId="0" applyFont="1" applyFill="1" applyBorder="1" applyAlignment="1">
      <alignment horizontal="left" vertical="top" wrapText="1"/>
    </xf>
    <xf numFmtId="0" fontId="8" fillId="39" borderId="34" xfId="0" applyFont="1" applyFill="1" applyBorder="1" applyAlignment="1">
      <alignment horizontal="left" vertical="top" wrapText="1"/>
    </xf>
    <xf numFmtId="0" fontId="8" fillId="39" borderId="19" xfId="0" applyFont="1" applyFill="1" applyBorder="1" applyAlignment="1">
      <alignment horizontal="left" vertical="top" wrapText="1"/>
    </xf>
    <xf numFmtId="183" fontId="7" fillId="35" borderId="11" xfId="48" applyNumberFormat="1" applyFont="1" applyFill="1" applyBorder="1" applyAlignment="1">
      <alignment horizontal="center" vertical="center" wrapText="1"/>
    </xf>
    <xf numFmtId="183" fontId="7" fillId="35" borderId="12" xfId="48" applyNumberFormat="1"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27" xfId="0" applyFont="1" applyBorder="1" applyAlignment="1">
      <alignment horizontal="center" vertical="top" wrapText="1"/>
    </xf>
    <xf numFmtId="0" fontId="34" fillId="0" borderId="39" xfId="0" applyFont="1" applyFill="1" applyBorder="1" applyAlignment="1">
      <alignment horizontal="center" vertical="top" wrapText="1"/>
    </xf>
    <xf numFmtId="0" fontId="34" fillId="0" borderId="26" xfId="0" applyFont="1" applyFill="1" applyBorder="1" applyAlignment="1">
      <alignment horizontal="center" vertical="top" wrapText="1"/>
    </xf>
    <xf numFmtId="0" fontId="9" fillId="0" borderId="27" xfId="0" applyFont="1" applyFill="1" applyBorder="1" applyAlignment="1">
      <alignment horizontal="center"/>
    </xf>
    <xf numFmtId="0" fontId="9" fillId="0" borderId="12" xfId="0" applyFont="1" applyFill="1" applyBorder="1" applyAlignment="1">
      <alignment horizontal="center"/>
    </xf>
    <xf numFmtId="0" fontId="8" fillId="35" borderId="27" xfId="0" applyFont="1" applyFill="1" applyBorder="1" applyAlignment="1">
      <alignment horizontal="center" vertical="center"/>
    </xf>
    <xf numFmtId="0" fontId="9" fillId="0" borderId="35" xfId="0" applyFont="1" applyFill="1" applyBorder="1" applyAlignment="1">
      <alignment horizontal="center" vertical="top" wrapText="1"/>
    </xf>
    <xf numFmtId="0" fontId="9" fillId="0" borderId="36" xfId="0" applyFont="1" applyFill="1" applyBorder="1" applyAlignment="1">
      <alignment horizontal="center" vertical="top" wrapText="1"/>
    </xf>
    <xf numFmtId="0" fontId="9" fillId="0" borderId="37" xfId="0" applyFont="1" applyFill="1" applyBorder="1" applyAlignment="1">
      <alignment horizontal="center" vertical="top" wrapText="1"/>
    </xf>
    <xf numFmtId="0" fontId="8" fillId="0" borderId="4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41" xfId="0" applyFont="1" applyFill="1" applyBorder="1" applyAlignment="1">
      <alignment horizontal="center" vertical="top" wrapText="1"/>
    </xf>
    <xf numFmtId="0" fontId="8" fillId="0" borderId="42" xfId="0" applyFont="1" applyFill="1" applyBorder="1" applyAlignment="1">
      <alignment horizontal="center" vertical="top" wrapText="1"/>
    </xf>
    <xf numFmtId="0" fontId="8" fillId="0" borderId="43" xfId="0" applyFont="1" applyFill="1" applyBorder="1" applyAlignment="1">
      <alignment horizontal="center" vertical="top" wrapText="1"/>
    </xf>
    <xf numFmtId="0" fontId="8" fillId="0" borderId="44" xfId="0" applyFont="1" applyFill="1" applyBorder="1" applyAlignment="1">
      <alignment horizontal="center" vertical="top" wrapText="1"/>
    </xf>
    <xf numFmtId="183" fontId="9" fillId="0" borderId="10" xfId="48" applyNumberFormat="1" applyFont="1" applyFill="1" applyBorder="1" applyAlignment="1">
      <alignment horizontal="center" vertical="center"/>
    </xf>
    <xf numFmtId="0" fontId="48" fillId="39" borderId="34" xfId="0" applyFont="1" applyFill="1" applyBorder="1" applyAlignment="1">
      <alignment horizontal="left" vertical="top" wrapText="1"/>
    </xf>
    <xf numFmtId="0" fontId="48" fillId="39" borderId="19" xfId="0" applyFont="1" applyFill="1" applyBorder="1" applyAlignment="1">
      <alignment horizontal="left" vertical="top" wrapText="1"/>
    </xf>
    <xf numFmtId="0" fontId="9" fillId="0" borderId="11" xfId="0" applyFont="1" applyFill="1" applyBorder="1" applyAlignment="1">
      <alignment horizontal="left" vertical="top" wrapText="1"/>
    </xf>
    <xf numFmtId="0" fontId="8" fillId="7" borderId="33" xfId="0" applyFont="1" applyFill="1" applyBorder="1" applyAlignment="1">
      <alignment horizontal="left" vertical="center"/>
    </xf>
    <xf numFmtId="0" fontId="8" fillId="7" borderId="34" xfId="0" applyFont="1" applyFill="1" applyBorder="1" applyAlignment="1">
      <alignment horizontal="left" vertical="center"/>
    </xf>
    <xf numFmtId="0" fontId="37" fillId="0" borderId="33" xfId="0" applyFont="1" applyFill="1" applyBorder="1" applyAlignment="1">
      <alignment horizontal="left" vertical="top" wrapText="1"/>
    </xf>
    <xf numFmtId="0" fontId="37" fillId="0" borderId="34" xfId="0" applyFont="1" applyFill="1" applyBorder="1" applyAlignment="1">
      <alignment horizontal="left" vertical="top" wrapText="1"/>
    </xf>
    <xf numFmtId="0" fontId="37" fillId="0" borderId="19"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7" xfId="0" applyFont="1" applyFill="1" applyBorder="1" applyAlignment="1">
      <alignment horizontal="left" vertical="top" wrapText="1"/>
    </xf>
    <xf numFmtId="9" fontId="9" fillId="0" borderId="10" xfId="0" applyNumberFormat="1" applyFont="1" applyFill="1" applyBorder="1" applyAlignment="1">
      <alignment horizontal="center" vertical="center"/>
    </xf>
    <xf numFmtId="0" fontId="9" fillId="0" borderId="30"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0" fontId="9" fillId="0" borderId="27" xfId="0" applyFont="1" applyBorder="1" applyAlignment="1">
      <alignment horizontal="center" vertical="center" wrapText="1"/>
    </xf>
    <xf numFmtId="9" fontId="9" fillId="0" borderId="10" xfId="55" applyFont="1" applyFill="1" applyBorder="1" applyAlignment="1">
      <alignment horizontal="center" vertical="center" wrapText="1"/>
    </xf>
    <xf numFmtId="0" fontId="9" fillId="0" borderId="10" xfId="55" applyNumberFormat="1" applyFont="1" applyFill="1" applyBorder="1" applyAlignment="1">
      <alignment horizontal="center" vertical="center" wrapText="1"/>
    </xf>
    <xf numFmtId="9" fontId="9" fillId="0" borderId="11"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0" fontId="8" fillId="0" borderId="10" xfId="0" applyFont="1" applyBorder="1" applyAlignment="1">
      <alignment horizontal="left" vertical="top" wrapText="1"/>
    </xf>
    <xf numFmtId="9" fontId="9" fillId="0" borderId="11" xfId="0" applyNumberFormat="1" applyFont="1" applyBorder="1" applyAlignment="1">
      <alignment horizontal="center" vertical="center"/>
    </xf>
    <xf numFmtId="9" fontId="9" fillId="0" borderId="12" xfId="0" applyNumberFormat="1" applyFont="1" applyBorder="1" applyAlignment="1">
      <alignment horizontal="center" vertical="center"/>
    </xf>
    <xf numFmtId="0" fontId="8" fillId="0" borderId="10" xfId="0" applyFont="1" applyFill="1" applyBorder="1" applyAlignment="1">
      <alignment horizontal="left" vertical="top" wrapText="1"/>
    </xf>
    <xf numFmtId="0" fontId="9" fillId="0" borderId="10" xfId="0" applyFont="1" applyFill="1" applyBorder="1" applyAlignment="1">
      <alignment horizontal="center" vertical="center"/>
    </xf>
    <xf numFmtId="183" fontId="8" fillId="35" borderId="11" xfId="48" applyNumberFormat="1" applyFont="1" applyFill="1" applyBorder="1" applyAlignment="1">
      <alignment horizontal="center" vertical="center" wrapText="1"/>
    </xf>
    <xf numFmtId="183" fontId="8" fillId="35" borderId="12" xfId="48" applyNumberFormat="1" applyFont="1" applyFill="1" applyBorder="1" applyAlignment="1">
      <alignment horizontal="center" vertical="center" wrapText="1"/>
    </xf>
    <xf numFmtId="183" fontId="9" fillId="0" borderId="10" xfId="48" applyNumberFormat="1" applyFont="1" applyFill="1" applyBorder="1" applyAlignment="1">
      <alignment horizontal="center" vertical="center" wrapText="1"/>
    </xf>
    <xf numFmtId="0" fontId="9" fillId="0" borderId="16" xfId="0" applyFont="1" applyFill="1" applyBorder="1" applyAlignment="1">
      <alignment horizontal="left" vertical="top" wrapText="1"/>
    </xf>
    <xf numFmtId="183" fontId="8" fillId="0" borderId="10" xfId="48" applyNumberFormat="1" applyFont="1" applyFill="1" applyBorder="1" applyAlignment="1">
      <alignment horizontal="center" vertical="center" wrapText="1"/>
    </xf>
    <xf numFmtId="0" fontId="8" fillId="7" borderId="38" xfId="0" applyFont="1" applyFill="1" applyBorder="1" applyAlignment="1">
      <alignment horizontal="left" vertical="center"/>
    </xf>
    <xf numFmtId="0" fontId="8" fillId="0" borderId="12" xfId="0" applyFont="1" applyFill="1" applyBorder="1" applyAlignment="1">
      <alignment horizontal="left" vertical="top" wrapText="1"/>
    </xf>
    <xf numFmtId="3" fontId="9" fillId="0" borderId="11" xfId="0" applyNumberFormat="1" applyFont="1" applyFill="1" applyBorder="1" applyAlignment="1">
      <alignment horizontal="center" vertical="center"/>
    </xf>
    <xf numFmtId="3" fontId="9" fillId="0" borderId="27"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12" xfId="0" applyFont="1" applyFill="1" applyBorder="1" applyAlignment="1">
      <alignment horizontal="center" vertical="center"/>
    </xf>
    <xf numFmtId="0" fontId="9" fillId="0" borderId="11" xfId="0" applyFont="1" applyFill="1" applyBorder="1" applyAlignment="1">
      <alignment vertical="top" wrapText="1"/>
    </xf>
    <xf numFmtId="0" fontId="9" fillId="0" borderId="27" xfId="0" applyFont="1" applyFill="1" applyBorder="1" applyAlignment="1">
      <alignment vertical="top" wrapText="1"/>
    </xf>
    <xf numFmtId="0" fontId="9" fillId="0" borderId="12" xfId="0" applyFont="1" applyFill="1" applyBorder="1" applyAlignment="1">
      <alignment vertical="top" wrapText="1"/>
    </xf>
    <xf numFmtId="182" fontId="9" fillId="0" borderId="11" xfId="48" applyFont="1" applyFill="1" applyBorder="1" applyAlignment="1">
      <alignment horizontal="center" vertical="center" wrapText="1"/>
    </xf>
    <xf numFmtId="182" fontId="9" fillId="0" borderId="27" xfId="48" applyFont="1" applyFill="1" applyBorder="1" applyAlignment="1">
      <alignment horizontal="center" vertical="center" wrapText="1"/>
    </xf>
    <xf numFmtId="182" fontId="9" fillId="0" borderId="12" xfId="48" applyFont="1" applyFill="1" applyBorder="1" applyAlignment="1">
      <alignment horizontal="center" vertical="center" wrapText="1"/>
    </xf>
    <xf numFmtId="0" fontId="8" fillId="0" borderId="11" xfId="0" applyFont="1" applyFill="1" applyBorder="1" applyAlignment="1">
      <alignment horizontal="left" vertical="top" wrapText="1"/>
    </xf>
    <xf numFmtId="0" fontId="9" fillId="0" borderId="45"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27" xfId="0" applyFont="1" applyFill="1" applyBorder="1" applyAlignment="1">
      <alignment horizontal="left" vertical="top" wrapText="1"/>
    </xf>
    <xf numFmtId="183" fontId="7" fillId="35" borderId="27" xfId="48" applyNumberFormat="1" applyFont="1" applyFill="1" applyBorder="1" applyAlignment="1">
      <alignment horizontal="center" vertical="center" wrapText="1"/>
    </xf>
    <xf numFmtId="183" fontId="8" fillId="0" borderId="11" xfId="48" applyNumberFormat="1" applyFont="1" applyBorder="1" applyAlignment="1">
      <alignment horizontal="center" vertical="center"/>
    </xf>
    <xf numFmtId="183" fontId="8" fillId="0" borderId="27" xfId="48" applyNumberFormat="1" applyFont="1" applyBorder="1" applyAlignment="1">
      <alignment horizontal="center" vertical="center"/>
    </xf>
    <xf numFmtId="183" fontId="8" fillId="0" borderId="12" xfId="48" applyNumberFormat="1" applyFont="1" applyBorder="1" applyAlignment="1">
      <alignment horizontal="center" vertical="center"/>
    </xf>
    <xf numFmtId="183" fontId="8" fillId="0" borderId="27" xfId="48" applyNumberFormat="1" applyFont="1" applyFill="1" applyBorder="1" applyAlignment="1">
      <alignment horizontal="center" vertical="center"/>
    </xf>
    <xf numFmtId="0" fontId="8" fillId="45" borderId="33" xfId="0" applyFont="1" applyFill="1" applyBorder="1" applyAlignment="1">
      <alignment horizontal="left" vertical="top"/>
    </xf>
    <xf numFmtId="0" fontId="8" fillId="45" borderId="34" xfId="0" applyFont="1" applyFill="1" applyBorder="1" applyAlignment="1">
      <alignment horizontal="left" vertical="top"/>
    </xf>
    <xf numFmtId="0" fontId="8" fillId="45" borderId="19" xfId="0" applyFont="1" applyFill="1" applyBorder="1" applyAlignment="1">
      <alignment horizontal="left" vertical="top"/>
    </xf>
    <xf numFmtId="0" fontId="9" fillId="0" borderId="30" xfId="0" applyFont="1" applyBorder="1" applyAlignment="1">
      <alignment horizontal="left" vertical="top"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39" xfId="0" applyFont="1" applyFill="1" applyBorder="1" applyAlignment="1">
      <alignment horizontal="left" vertical="top" wrapText="1"/>
    </xf>
    <xf numFmtId="0" fontId="9" fillId="0" borderId="26" xfId="0" applyFont="1" applyFill="1" applyBorder="1" applyAlignment="1">
      <alignment horizontal="left" vertical="top" wrapText="1"/>
    </xf>
    <xf numFmtId="183" fontId="7" fillId="35" borderId="11" xfId="48" applyNumberFormat="1" applyFont="1" applyFill="1" applyBorder="1" applyAlignment="1">
      <alignment horizontal="center" vertical="center"/>
    </xf>
    <xf numFmtId="183" fontId="7" fillId="35" borderId="12" xfId="48" applyNumberFormat="1" applyFont="1" applyFill="1" applyBorder="1" applyAlignment="1">
      <alignment horizontal="center" vertical="center"/>
    </xf>
    <xf numFmtId="183" fontId="8" fillId="0" borderId="11" xfId="48" applyNumberFormat="1" applyFont="1" applyBorder="1" applyAlignment="1">
      <alignment horizontal="center" vertical="center" wrapText="1"/>
    </xf>
    <xf numFmtId="183" fontId="8" fillId="0" borderId="12" xfId="48" applyNumberFormat="1" applyFont="1" applyBorder="1" applyAlignment="1">
      <alignment horizontal="center" vertical="center" wrapText="1"/>
    </xf>
    <xf numFmtId="183" fontId="8" fillId="0" borderId="27" xfId="48" applyNumberFormat="1" applyFont="1" applyBorder="1" applyAlignment="1">
      <alignment horizontal="center" vertical="center" wrapText="1"/>
    </xf>
    <xf numFmtId="0" fontId="8" fillId="35" borderId="27"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39" xfId="0" applyFont="1" applyBorder="1" applyAlignment="1">
      <alignment horizontal="left" vertical="top" wrapText="1"/>
    </xf>
    <xf numFmtId="0" fontId="9" fillId="0" borderId="48" xfId="0" applyFont="1" applyBorder="1" applyAlignment="1">
      <alignment horizontal="left" vertical="top" wrapText="1"/>
    </xf>
    <xf numFmtId="0" fontId="9" fillId="0" borderId="26" xfId="0" applyFont="1" applyBorder="1" applyAlignment="1">
      <alignment horizontal="left" vertical="top" wrapText="1"/>
    </xf>
    <xf numFmtId="0" fontId="9" fillId="0" borderId="11" xfId="0" applyFont="1" applyBorder="1" applyAlignment="1">
      <alignment horizontal="center" vertical="top"/>
    </xf>
    <xf numFmtId="0" fontId="9" fillId="0" borderId="27" xfId="0" applyFont="1" applyBorder="1" applyAlignment="1">
      <alignment horizontal="center" vertical="top"/>
    </xf>
    <xf numFmtId="0" fontId="9" fillId="0" borderId="12" xfId="0" applyFont="1" applyBorder="1" applyAlignment="1">
      <alignment horizontal="center" vertical="top"/>
    </xf>
    <xf numFmtId="0" fontId="9" fillId="0" borderId="10" xfId="0" applyFont="1" applyFill="1" applyBorder="1" applyAlignment="1">
      <alignment horizontal="center" vertical="top" wrapText="1"/>
    </xf>
    <xf numFmtId="0" fontId="8" fillId="45" borderId="33" xfId="0" applyFont="1" applyFill="1" applyBorder="1" applyAlignment="1">
      <alignment horizontal="left"/>
    </xf>
    <xf numFmtId="0" fontId="8" fillId="45" borderId="34" xfId="0" applyFont="1" applyFill="1" applyBorder="1" applyAlignment="1">
      <alignment horizontal="left"/>
    </xf>
    <xf numFmtId="0" fontId="8" fillId="45" borderId="19" xfId="0" applyFont="1" applyFill="1" applyBorder="1" applyAlignment="1">
      <alignment horizontal="left"/>
    </xf>
    <xf numFmtId="0" fontId="8" fillId="0" borderId="31"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11" xfId="0" applyFont="1" applyFill="1" applyBorder="1" applyAlignment="1">
      <alignment vertical="top" wrapText="1"/>
    </xf>
    <xf numFmtId="0" fontId="8" fillId="0" borderId="27" xfId="0" applyFont="1" applyFill="1" applyBorder="1" applyAlignment="1">
      <alignment vertical="top" wrapText="1"/>
    </xf>
    <xf numFmtId="0" fontId="8" fillId="0" borderId="12" xfId="0" applyFont="1" applyFill="1" applyBorder="1" applyAlignment="1">
      <alignment vertical="top" wrapText="1"/>
    </xf>
    <xf numFmtId="0" fontId="8" fillId="45" borderId="31" xfId="0" applyFont="1" applyFill="1" applyBorder="1" applyAlignment="1">
      <alignment horizontal="left"/>
    </xf>
    <xf numFmtId="0" fontId="8" fillId="45" borderId="10" xfId="0" applyFont="1" applyFill="1" applyBorder="1" applyAlignment="1">
      <alignment horizontal="left"/>
    </xf>
    <xf numFmtId="0" fontId="9" fillId="0" borderId="10" xfId="0" applyFont="1" applyFill="1" applyBorder="1" applyAlignment="1">
      <alignment vertical="top" wrapText="1"/>
    </xf>
    <xf numFmtId="0" fontId="9" fillId="0" borderId="10" xfId="48" applyNumberFormat="1" applyFont="1" applyFill="1" applyBorder="1" applyAlignment="1">
      <alignment horizontal="center" vertical="center" wrapText="1"/>
    </xf>
    <xf numFmtId="183" fontId="8" fillId="0" borderId="10" xfId="48" applyNumberFormat="1" applyFont="1" applyFill="1" applyBorder="1" applyAlignment="1">
      <alignment horizontal="center" vertical="center"/>
    </xf>
    <xf numFmtId="0" fontId="8" fillId="0" borderId="31" xfId="0" applyFont="1" applyFill="1" applyBorder="1" applyAlignment="1">
      <alignment horizontal="center" vertical="top" wrapText="1"/>
    </xf>
    <xf numFmtId="0" fontId="8" fillId="0" borderId="31" xfId="0" applyFont="1" applyFill="1" applyBorder="1" applyAlignment="1">
      <alignment vertical="top" wrapText="1"/>
    </xf>
    <xf numFmtId="0" fontId="8" fillId="0" borderId="10" xfId="0" applyFont="1" applyFill="1" applyBorder="1" applyAlignment="1">
      <alignment vertical="top" wrapText="1"/>
    </xf>
    <xf numFmtId="0" fontId="9" fillId="0" borderId="10" xfId="0" applyFont="1" applyFill="1" applyBorder="1" applyAlignment="1" applyProtection="1">
      <alignment horizontal="left" vertical="top" wrapText="1"/>
      <protection locked="0"/>
    </xf>
    <xf numFmtId="0" fontId="43" fillId="0" borderId="16" xfId="0" applyFont="1" applyBorder="1" applyAlignment="1">
      <alignment horizontal="center" vertical="top" wrapText="1"/>
    </xf>
    <xf numFmtId="183" fontId="8" fillId="0" borderId="10" xfId="48" applyNumberFormat="1" applyFont="1" applyBorder="1" applyAlignment="1">
      <alignment horizontal="center" vertical="center"/>
    </xf>
    <xf numFmtId="0" fontId="8" fillId="35" borderId="10" xfId="0" applyFont="1" applyFill="1" applyBorder="1" applyAlignment="1">
      <alignment horizontal="center" vertical="center"/>
    </xf>
    <xf numFmtId="183" fontId="8" fillId="34" borderId="11" xfId="0" applyNumberFormat="1" applyFont="1" applyFill="1" applyBorder="1" applyAlignment="1">
      <alignment horizontal="center" vertical="center" wrapText="1"/>
    </xf>
    <xf numFmtId="183" fontId="8" fillId="34" borderId="12" xfId="0" applyNumberFormat="1" applyFont="1" applyFill="1" applyBorder="1" applyAlignment="1">
      <alignment horizontal="center" vertical="center" wrapText="1"/>
    </xf>
    <xf numFmtId="183" fontId="8" fillId="0" borderId="11" xfId="0" applyNumberFormat="1" applyFont="1" applyBorder="1" applyAlignment="1">
      <alignment horizontal="center" vertical="center" wrapText="1"/>
    </xf>
    <xf numFmtId="183" fontId="8" fillId="0" borderId="12" xfId="0" applyNumberFormat="1" applyFont="1" applyBorder="1" applyAlignment="1">
      <alignment horizontal="center" vertical="center" wrapText="1"/>
    </xf>
    <xf numFmtId="0" fontId="43" fillId="0" borderId="16" xfId="0" applyFont="1" applyBorder="1" applyAlignment="1">
      <alignment horizontal="left" vertical="top" wrapText="1"/>
    </xf>
    <xf numFmtId="183" fontId="8" fillId="0" borderId="10" xfId="48" applyNumberFormat="1" applyFont="1" applyBorder="1" applyAlignment="1">
      <alignment horizontal="center" vertical="center" wrapText="1"/>
    </xf>
    <xf numFmtId="0" fontId="8" fillId="35" borderId="10" xfId="0" applyFont="1" applyFill="1" applyBorder="1" applyAlignment="1">
      <alignment horizontal="center" vertical="center" wrapText="1"/>
    </xf>
    <xf numFmtId="0" fontId="9" fillId="0" borderId="10" xfId="0" applyFont="1" applyBorder="1" applyAlignment="1">
      <alignment horizontal="center" vertical="center" wrapText="1"/>
    </xf>
    <xf numFmtId="1" fontId="8" fillId="35" borderId="11" xfId="48" applyNumberFormat="1" applyFont="1" applyFill="1" applyBorder="1" applyAlignment="1">
      <alignment horizontal="center" vertical="center" wrapText="1"/>
    </xf>
    <xf numFmtId="1" fontId="8" fillId="35" borderId="27" xfId="48" applyNumberFormat="1" applyFont="1" applyFill="1" applyBorder="1" applyAlignment="1">
      <alignment horizontal="center" vertical="center" wrapText="1"/>
    </xf>
    <xf numFmtId="1" fontId="8" fillId="35" borderId="12" xfId="48" applyNumberFormat="1" applyFont="1" applyFill="1" applyBorder="1" applyAlignment="1">
      <alignment horizontal="center" vertical="center" wrapText="1"/>
    </xf>
    <xf numFmtId="0" fontId="9" fillId="0" borderId="10" xfId="0" applyFont="1" applyBorder="1" applyAlignment="1">
      <alignment vertical="top" wrapText="1"/>
    </xf>
    <xf numFmtId="0" fontId="8" fillId="0" borderId="11"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12" xfId="0" applyFont="1" applyFill="1" applyBorder="1" applyAlignment="1">
      <alignment horizontal="center" vertical="top" wrapText="1"/>
    </xf>
    <xf numFmtId="0" fontId="9" fillId="0" borderId="16" xfId="0" applyFont="1" applyBorder="1" applyAlignment="1">
      <alignment horizontal="left" vertical="top" wrapText="1"/>
    </xf>
    <xf numFmtId="0" fontId="8" fillId="0" borderId="10" xfId="0" applyFont="1" applyFill="1" applyBorder="1" applyAlignment="1">
      <alignment horizontal="left" vertical="top" wrapText="1"/>
    </xf>
    <xf numFmtId="0" fontId="8" fillId="0" borderId="10" xfId="0" applyFont="1" applyBorder="1" applyAlignment="1">
      <alignment vertical="top" wrapText="1"/>
    </xf>
    <xf numFmtId="0" fontId="8" fillId="0" borderId="30"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1" xfId="0" applyFont="1" applyBorder="1" applyAlignment="1">
      <alignment horizontal="left" vertical="top" wrapText="1"/>
    </xf>
    <xf numFmtId="183" fontId="8" fillId="35" borderId="10" xfId="48" applyNumberFormat="1" applyFont="1" applyFill="1" applyBorder="1" applyAlignment="1">
      <alignment horizontal="center" vertical="center"/>
    </xf>
    <xf numFmtId="0" fontId="9" fillId="0" borderId="11" xfId="0" applyFont="1" applyBorder="1" applyAlignment="1">
      <alignment horizontal="left" vertical="top" wrapText="1"/>
    </xf>
    <xf numFmtId="0" fontId="9" fillId="0" borderId="27" xfId="0" applyFont="1" applyBorder="1" applyAlignment="1">
      <alignment horizontal="left" vertical="top" wrapText="1"/>
    </xf>
    <xf numFmtId="0" fontId="9" fillId="0" borderId="12" xfId="0" applyFont="1" applyBorder="1" applyAlignment="1">
      <alignment horizontal="left" vertical="top" wrapText="1"/>
    </xf>
    <xf numFmtId="0" fontId="9" fillId="34" borderId="10" xfId="0" applyFont="1" applyFill="1" applyBorder="1" applyAlignment="1">
      <alignment horizontal="left" vertical="top" wrapText="1"/>
    </xf>
    <xf numFmtId="0" fontId="9" fillId="34" borderId="10" xfId="0" applyFont="1" applyFill="1" applyBorder="1" applyAlignment="1">
      <alignment horizontal="left" vertical="top" wrapText="1"/>
    </xf>
    <xf numFmtId="0" fontId="9" fillId="34"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45" borderId="31" xfId="0" applyFont="1" applyFill="1" applyBorder="1" applyAlignment="1">
      <alignment horizontal="left" vertical="center"/>
    </xf>
    <xf numFmtId="0" fontId="8" fillId="45" borderId="10" xfId="0" applyFont="1" applyFill="1" applyBorder="1" applyAlignment="1">
      <alignment horizontal="left" vertical="center"/>
    </xf>
    <xf numFmtId="9" fontId="9" fillId="0" borderId="10" xfId="55" applyFont="1" applyFill="1" applyBorder="1" applyAlignment="1">
      <alignment horizontal="center" vertical="center"/>
    </xf>
    <xf numFmtId="0" fontId="8" fillId="0" borderId="20"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15" xfId="0"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27" xfId="0" applyFont="1" applyFill="1" applyBorder="1" applyAlignment="1">
      <alignment horizontal="center" vertical="top" wrapText="1"/>
    </xf>
    <xf numFmtId="0" fontId="9" fillId="34" borderId="12" xfId="0" applyFont="1" applyFill="1" applyBorder="1" applyAlignment="1">
      <alignment horizontal="center" vertical="top" wrapText="1"/>
    </xf>
    <xf numFmtId="0" fontId="9" fillId="34" borderId="11" xfId="0" applyFont="1" applyFill="1" applyBorder="1" applyAlignment="1">
      <alignment horizontal="left" vertical="top" wrapText="1"/>
    </xf>
    <xf numFmtId="0" fontId="9" fillId="34" borderId="27" xfId="0" applyFont="1" applyFill="1" applyBorder="1" applyAlignment="1">
      <alignment horizontal="left" vertical="top" wrapText="1"/>
    </xf>
    <xf numFmtId="0" fontId="9" fillId="34" borderId="12" xfId="0" applyFont="1" applyFill="1" applyBorder="1" applyAlignment="1">
      <alignment horizontal="left" vertical="top" wrapText="1"/>
    </xf>
    <xf numFmtId="0" fontId="9" fillId="34" borderId="27" xfId="0" applyFont="1" applyFill="1" applyBorder="1" applyAlignment="1">
      <alignment horizontal="center" vertical="top" wrapText="1"/>
    </xf>
    <xf numFmtId="0" fontId="9" fillId="34" borderId="12" xfId="0" applyFont="1" applyFill="1" applyBorder="1" applyAlignment="1">
      <alignment horizontal="center" vertical="top" wrapText="1"/>
    </xf>
    <xf numFmtId="0" fontId="9" fillId="0" borderId="11" xfId="0" applyNumberFormat="1" applyFont="1" applyFill="1" applyBorder="1" applyAlignment="1">
      <alignment horizontal="center" vertical="center"/>
    </xf>
    <xf numFmtId="0" fontId="9" fillId="0" borderId="27"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8" fillId="39" borderId="33" xfId="0" applyFont="1" applyFill="1" applyBorder="1" applyAlignment="1">
      <alignment horizontal="left" vertical="top" wrapText="1"/>
    </xf>
    <xf numFmtId="0" fontId="8" fillId="39" borderId="34" xfId="0" applyFont="1" applyFill="1" applyBorder="1" applyAlignment="1">
      <alignment horizontal="left" vertical="top" wrapText="1"/>
    </xf>
    <xf numFmtId="0" fontId="8" fillId="39" borderId="19" xfId="0" applyFont="1" applyFill="1" applyBorder="1" applyAlignment="1">
      <alignment horizontal="left" vertical="top" wrapText="1"/>
    </xf>
    <xf numFmtId="0" fontId="8" fillId="0" borderId="27" xfId="0" applyFont="1" applyFill="1" applyBorder="1" applyAlignment="1">
      <alignment horizontal="left" vertical="top" wrapText="1"/>
    </xf>
    <xf numFmtId="0" fontId="9" fillId="0" borderId="15" xfId="0" applyFont="1" applyFill="1" applyBorder="1" applyAlignment="1">
      <alignment horizontal="center" vertical="top" wrapText="1"/>
    </xf>
    <xf numFmtId="0" fontId="70" fillId="0" borderId="0" xfId="53" applyFont="1" applyAlignment="1">
      <alignment horizontal="center"/>
      <protection/>
    </xf>
    <xf numFmtId="0" fontId="72" fillId="0" borderId="10" xfId="53" applyFont="1" applyFill="1" applyBorder="1" applyAlignment="1">
      <alignment horizontal="left"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25"/>
          <c:y val="0.194"/>
          <c:w val="0.2475"/>
          <c:h val="0.77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Synthèse!$B$5:$B$11</c:f>
              <c:strCache/>
            </c:strRef>
          </c:cat>
          <c:val>
            <c:numRef>
              <c:f>Synthèse!$C$5:$C$11</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57150</xdr:rowOff>
    </xdr:from>
    <xdr:to>
      <xdr:col>8</xdr:col>
      <xdr:colOff>447675</xdr:colOff>
      <xdr:row>34</xdr:row>
      <xdr:rowOff>123825</xdr:rowOff>
    </xdr:to>
    <xdr:graphicFrame>
      <xdr:nvGraphicFramePr>
        <xdr:cNvPr id="1" name="Chart 1"/>
        <xdr:cNvGraphicFramePr/>
      </xdr:nvGraphicFramePr>
      <xdr:xfrm>
        <a:off x="209550" y="5038725"/>
        <a:ext cx="11372850"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EW614"/>
  <sheetViews>
    <sheetView tabSelected="1" zoomScale="64" zoomScaleNormal="64" zoomScaleSheetLayoutView="80" zoomScalePageLayoutView="0" workbookViewId="0" topLeftCell="A174">
      <selection activeCell="C183" sqref="C183:C185"/>
    </sheetView>
  </sheetViews>
  <sheetFormatPr defaultColWidth="11.00390625" defaultRowHeight="15.75"/>
  <cols>
    <col min="1" max="1" width="35.875" style="11" customWidth="1"/>
    <col min="2" max="2" width="23.50390625" style="11" customWidth="1"/>
    <col min="3" max="3" width="28.625" style="10" customWidth="1"/>
    <col min="4" max="4" width="29.625" style="11" customWidth="1"/>
    <col min="5" max="5" width="19.125" style="38" customWidth="1"/>
    <col min="6" max="6" width="19.25390625" style="38" customWidth="1"/>
    <col min="7" max="7" width="38.125" style="12" customWidth="1"/>
    <col min="8" max="8" width="21.25390625" style="39" customWidth="1"/>
    <col min="9" max="9" width="19.125" style="49" customWidth="1"/>
    <col min="10" max="10" width="21.625" style="41" customWidth="1"/>
    <col min="11" max="11" width="19.50390625" style="41" customWidth="1"/>
    <col min="12" max="12" width="20.125" style="186" customWidth="1"/>
    <col min="13" max="13" width="19.625" style="41" customWidth="1"/>
    <col min="14" max="14" width="22.375" style="41" customWidth="1"/>
    <col min="15" max="15" width="18.50390625" style="48" customWidth="1"/>
    <col min="16" max="16" width="23.625" style="40" customWidth="1"/>
    <col min="17" max="17" width="19.375" style="12" customWidth="1"/>
    <col min="18" max="18" width="17.875" style="12" customWidth="1"/>
    <col min="19" max="19" width="18.875" style="36" customWidth="1"/>
    <col min="20" max="20" width="42.625" style="1" customWidth="1"/>
  </cols>
  <sheetData>
    <row r="1" spans="1:53" s="2" customFormat="1" ht="24.75" customHeight="1" thickBot="1">
      <c r="A1" s="195" t="s">
        <v>0</v>
      </c>
      <c r="B1" s="195"/>
      <c r="C1" s="195"/>
      <c r="D1" s="195"/>
      <c r="E1" s="195"/>
      <c r="F1" s="195"/>
      <c r="G1" s="195"/>
      <c r="H1" s="195"/>
      <c r="I1" s="195"/>
      <c r="J1" s="195"/>
      <c r="K1" s="195"/>
      <c r="L1" s="196"/>
      <c r="M1" s="195"/>
      <c r="N1" s="197"/>
      <c r="O1" s="198"/>
      <c r="P1" s="195"/>
      <c r="Q1" s="195"/>
      <c r="R1" s="195"/>
      <c r="S1" s="195"/>
      <c r="T1" s="3"/>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53" s="27" customFormat="1" ht="36.75" customHeight="1" thickBot="1">
      <c r="A2" s="227" t="s">
        <v>1</v>
      </c>
      <c r="B2" s="228" t="s">
        <v>2</v>
      </c>
      <c r="C2" s="228" t="s">
        <v>3</v>
      </c>
      <c r="D2" s="228" t="s">
        <v>4</v>
      </c>
      <c r="E2" s="199" t="s">
        <v>5</v>
      </c>
      <c r="F2" s="199" t="s">
        <v>6</v>
      </c>
      <c r="G2" s="229" t="s">
        <v>7</v>
      </c>
      <c r="H2" s="230" t="s">
        <v>8</v>
      </c>
      <c r="I2" s="230" t="s">
        <v>417</v>
      </c>
      <c r="J2" s="199">
        <v>2016</v>
      </c>
      <c r="K2" s="199">
        <v>2017</v>
      </c>
      <c r="L2" s="199">
        <v>2018</v>
      </c>
      <c r="M2" s="199">
        <v>2019</v>
      </c>
      <c r="N2" s="199">
        <v>2020</v>
      </c>
      <c r="O2" s="231" t="s">
        <v>395</v>
      </c>
      <c r="P2" s="230" t="s">
        <v>396</v>
      </c>
      <c r="Q2" s="228" t="s">
        <v>9</v>
      </c>
      <c r="R2" s="228" t="s">
        <v>10</v>
      </c>
      <c r="S2" s="232" t="s">
        <v>11</v>
      </c>
      <c r="T2" s="28"/>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20" s="4" customFormat="1" ht="21.75" customHeight="1" thickBot="1">
      <c r="A3" s="233" t="s">
        <v>399</v>
      </c>
      <c r="B3" s="161"/>
      <c r="C3" s="161"/>
      <c r="D3" s="161"/>
      <c r="E3" s="161"/>
      <c r="F3" s="161"/>
      <c r="G3" s="161"/>
      <c r="H3" s="161"/>
      <c r="I3" s="161"/>
      <c r="J3" s="161"/>
      <c r="K3" s="161"/>
      <c r="L3" s="161"/>
      <c r="M3" s="161"/>
      <c r="N3" s="234"/>
      <c r="O3" s="235"/>
      <c r="P3" s="161"/>
      <c r="Q3" s="161"/>
      <c r="R3" s="161"/>
      <c r="S3" s="236"/>
      <c r="T3" s="3"/>
    </row>
    <row r="4" spans="1:20" s="5" customFormat="1" ht="81" customHeight="1">
      <c r="A4" s="657" t="s">
        <v>902</v>
      </c>
      <c r="B4" s="659" t="s">
        <v>903</v>
      </c>
      <c r="C4" s="675" t="s">
        <v>904</v>
      </c>
      <c r="D4" s="237" t="s">
        <v>12</v>
      </c>
      <c r="E4" s="238">
        <v>0</v>
      </c>
      <c r="F4" s="239">
        <v>2000</v>
      </c>
      <c r="G4" s="115" t="s">
        <v>13</v>
      </c>
      <c r="H4" s="162">
        <f>250000*20+5000000</f>
        <v>10000000</v>
      </c>
      <c r="I4" s="240">
        <v>1</v>
      </c>
      <c r="J4" s="162">
        <f>+H4*I4</f>
        <v>10000000</v>
      </c>
      <c r="K4" s="162">
        <v>0</v>
      </c>
      <c r="L4" s="162">
        <v>0</v>
      </c>
      <c r="M4" s="162">
        <v>0</v>
      </c>
      <c r="N4" s="162">
        <v>0</v>
      </c>
      <c r="O4" s="85">
        <f aca="true" t="shared" si="0" ref="O4:O16">P4/500</f>
        <v>20000</v>
      </c>
      <c r="P4" s="162">
        <f aca="true" t="shared" si="1" ref="P4:P23">H4*I4</f>
        <v>10000000</v>
      </c>
      <c r="Q4" s="115" t="s">
        <v>594</v>
      </c>
      <c r="R4" s="237" t="s">
        <v>711</v>
      </c>
      <c r="S4" s="200">
        <f>P4+P5+P6+P7+P8+P9+P11+P12+P13+P14+P15+P16+P17+P18+P22+P25+P29+P32+P33+P34+P37+P40+P42+P43+P44+P47+P51+P52+P53+P56+P57+P63+P64+P67+P68</f>
        <v>7926328284</v>
      </c>
      <c r="T4" s="100"/>
    </row>
    <row r="5" spans="1:20" s="5" customFormat="1" ht="84" customHeight="1">
      <c r="A5" s="462"/>
      <c r="B5" s="459"/>
      <c r="C5" s="427"/>
      <c r="D5" s="241"/>
      <c r="E5" s="242"/>
      <c r="F5" s="243"/>
      <c r="G5" s="115" t="s">
        <v>15</v>
      </c>
      <c r="H5" s="162">
        <v>5000</v>
      </c>
      <c r="I5" s="240">
        <v>2000</v>
      </c>
      <c r="J5" s="162">
        <f>P5</f>
        <v>10000000</v>
      </c>
      <c r="K5" s="162">
        <v>0</v>
      </c>
      <c r="L5" s="162">
        <v>0</v>
      </c>
      <c r="M5" s="162">
        <v>0</v>
      </c>
      <c r="N5" s="162">
        <v>0</v>
      </c>
      <c r="O5" s="85">
        <f t="shared" si="0"/>
        <v>20000</v>
      </c>
      <c r="P5" s="162">
        <f t="shared" si="1"/>
        <v>10000000</v>
      </c>
      <c r="Q5" s="115" t="s">
        <v>594</v>
      </c>
      <c r="R5" s="237" t="s">
        <v>681</v>
      </c>
      <c r="S5" s="244"/>
      <c r="T5" s="28"/>
    </row>
    <row r="6" spans="1:20" s="5" customFormat="1" ht="45.75" customHeight="1">
      <c r="A6" s="462"/>
      <c r="B6" s="459"/>
      <c r="C6" s="428"/>
      <c r="D6" s="241" t="s">
        <v>782</v>
      </c>
      <c r="E6" s="242"/>
      <c r="F6" s="243"/>
      <c r="G6" s="115" t="s">
        <v>881</v>
      </c>
      <c r="H6" s="162">
        <v>7000000</v>
      </c>
      <c r="I6" s="240">
        <v>3</v>
      </c>
      <c r="J6" s="162">
        <f>7000000*2</f>
        <v>14000000</v>
      </c>
      <c r="K6" s="162" t="s">
        <v>512</v>
      </c>
      <c r="L6" s="162">
        <f>7000000</f>
        <v>7000000</v>
      </c>
      <c r="M6" s="162"/>
      <c r="N6" s="162"/>
      <c r="O6" s="85"/>
      <c r="P6" s="162">
        <f>+I6*H6</f>
        <v>21000000</v>
      </c>
      <c r="Q6" s="115"/>
      <c r="R6" s="237"/>
      <c r="S6" s="244"/>
      <c r="T6" s="28"/>
    </row>
    <row r="7" spans="1:20" s="5" customFormat="1" ht="94.5">
      <c r="A7" s="462"/>
      <c r="B7" s="459"/>
      <c r="C7" s="114" t="s">
        <v>905</v>
      </c>
      <c r="D7" s="114" t="s">
        <v>682</v>
      </c>
      <c r="E7" s="245">
        <v>0.1</v>
      </c>
      <c r="F7" s="246">
        <v>0.8</v>
      </c>
      <c r="G7" s="115" t="s">
        <v>854</v>
      </c>
      <c r="H7" s="162">
        <f>500+2500+10000</f>
        <v>13000</v>
      </c>
      <c r="I7" s="240">
        <f>1910+1910*20%</f>
        <v>2292</v>
      </c>
      <c r="J7" s="162">
        <f>P7*30%</f>
        <v>8938800</v>
      </c>
      <c r="K7" s="162">
        <f>P7*40%</f>
        <v>11918400</v>
      </c>
      <c r="L7" s="162" t="s">
        <v>512</v>
      </c>
      <c r="M7" s="162">
        <f>P7*20%</f>
        <v>5959200</v>
      </c>
      <c r="N7" s="162">
        <f>P7*10%</f>
        <v>2979600</v>
      </c>
      <c r="O7" s="85">
        <f t="shared" si="0"/>
        <v>59592</v>
      </c>
      <c r="P7" s="162">
        <f>H7*I7</f>
        <v>29796000</v>
      </c>
      <c r="Q7" s="115" t="s">
        <v>594</v>
      </c>
      <c r="R7" s="237" t="s">
        <v>681</v>
      </c>
      <c r="S7" s="201"/>
      <c r="T7" s="28"/>
    </row>
    <row r="8" spans="1:20" s="5" customFormat="1" ht="91.5" customHeight="1">
      <c r="A8" s="462"/>
      <c r="B8" s="459"/>
      <c r="C8" s="534" t="s">
        <v>906</v>
      </c>
      <c r="D8" s="535" t="s">
        <v>424</v>
      </c>
      <c r="E8" s="543" t="s">
        <v>16</v>
      </c>
      <c r="F8" s="540">
        <v>0.8</v>
      </c>
      <c r="G8" s="115" t="s">
        <v>882</v>
      </c>
      <c r="H8" s="162">
        <v>87804</v>
      </c>
      <c r="I8" s="240">
        <v>100</v>
      </c>
      <c r="J8" s="162">
        <f>P8*50%</f>
        <v>4390200</v>
      </c>
      <c r="K8" s="162">
        <f>P8*50%</f>
        <v>4390200</v>
      </c>
      <c r="L8" s="162">
        <v>0</v>
      </c>
      <c r="M8" s="162" t="s">
        <v>512</v>
      </c>
      <c r="N8" s="162">
        <v>0</v>
      </c>
      <c r="O8" s="85">
        <f t="shared" si="0"/>
        <v>17560.8</v>
      </c>
      <c r="P8" s="162">
        <f t="shared" si="1"/>
        <v>8780400</v>
      </c>
      <c r="Q8" s="115" t="s">
        <v>594</v>
      </c>
      <c r="R8" s="115" t="s">
        <v>683</v>
      </c>
      <c r="S8" s="244"/>
      <c r="T8" s="28"/>
    </row>
    <row r="9" spans="1:20" s="6" customFormat="1" ht="78" customHeight="1">
      <c r="A9" s="462"/>
      <c r="B9" s="459"/>
      <c r="C9" s="534"/>
      <c r="D9" s="535"/>
      <c r="E9" s="544"/>
      <c r="F9" s="541"/>
      <c r="G9" s="115" t="s">
        <v>17</v>
      </c>
      <c r="H9" s="162">
        <v>60000</v>
      </c>
      <c r="I9" s="247">
        <v>10</v>
      </c>
      <c r="J9" s="162">
        <f>P9/5</f>
        <v>120000</v>
      </c>
      <c r="K9" s="162">
        <f>P9/5</f>
        <v>120000</v>
      </c>
      <c r="L9" s="162">
        <f>P9/5</f>
        <v>120000</v>
      </c>
      <c r="M9" s="162">
        <f>P9/5</f>
        <v>120000</v>
      </c>
      <c r="N9" s="162">
        <f>P9/5</f>
        <v>120000</v>
      </c>
      <c r="O9" s="85">
        <f t="shared" si="0"/>
        <v>1200</v>
      </c>
      <c r="P9" s="162">
        <f t="shared" si="1"/>
        <v>600000</v>
      </c>
      <c r="Q9" s="115" t="s">
        <v>594</v>
      </c>
      <c r="R9" s="115" t="s">
        <v>681</v>
      </c>
      <c r="S9" s="244"/>
      <c r="T9" s="28"/>
    </row>
    <row r="10" spans="1:20" s="6" customFormat="1" ht="45.75" customHeight="1">
      <c r="A10" s="462"/>
      <c r="B10" s="459"/>
      <c r="C10" s="114" t="s">
        <v>907</v>
      </c>
      <c r="D10" s="114" t="s">
        <v>18</v>
      </c>
      <c r="E10" s="245" t="s">
        <v>16</v>
      </c>
      <c r="F10" s="246">
        <v>0.8</v>
      </c>
      <c r="G10" s="115" t="s">
        <v>19</v>
      </c>
      <c r="H10" s="163">
        <v>0</v>
      </c>
      <c r="I10" s="247">
        <v>100</v>
      </c>
      <c r="J10" s="162">
        <v>0</v>
      </c>
      <c r="K10" s="162"/>
      <c r="L10" s="162"/>
      <c r="M10" s="162" t="s">
        <v>512</v>
      </c>
      <c r="N10" s="162"/>
      <c r="O10" s="85">
        <f t="shared" si="0"/>
        <v>0</v>
      </c>
      <c r="P10" s="162">
        <f t="shared" si="1"/>
        <v>0</v>
      </c>
      <c r="Q10" s="115" t="s">
        <v>594</v>
      </c>
      <c r="R10" s="115" t="s">
        <v>684</v>
      </c>
      <c r="S10" s="244"/>
      <c r="T10" s="28"/>
    </row>
    <row r="11" spans="1:20" s="6" customFormat="1" ht="24" customHeight="1">
      <c r="A11" s="462"/>
      <c r="B11" s="459"/>
      <c r="C11" s="483" t="s">
        <v>908</v>
      </c>
      <c r="D11" s="114" t="s">
        <v>783</v>
      </c>
      <c r="E11" s="245"/>
      <c r="F11" s="246"/>
      <c r="G11" s="115" t="s">
        <v>855</v>
      </c>
      <c r="H11" s="163">
        <f>(5*60000)+(120*100000)</f>
        <v>12300000</v>
      </c>
      <c r="I11" s="247">
        <v>5</v>
      </c>
      <c r="J11" s="162">
        <f>H11</f>
        <v>12300000</v>
      </c>
      <c r="K11" s="162">
        <f>H11</f>
        <v>12300000</v>
      </c>
      <c r="L11" s="162">
        <f>J11</f>
        <v>12300000</v>
      </c>
      <c r="M11" s="162">
        <f>J11</f>
        <v>12300000</v>
      </c>
      <c r="N11" s="162">
        <f>H11</f>
        <v>12300000</v>
      </c>
      <c r="O11" s="85">
        <f t="shared" si="0"/>
        <v>123000</v>
      </c>
      <c r="P11" s="162">
        <f>H11*I11</f>
        <v>61500000</v>
      </c>
      <c r="Q11" s="115"/>
      <c r="R11" s="115"/>
      <c r="S11" s="244"/>
      <c r="T11" s="28"/>
    </row>
    <row r="12" spans="1:20" s="6" customFormat="1" ht="47.25">
      <c r="A12" s="462"/>
      <c r="B12" s="459"/>
      <c r="C12" s="484"/>
      <c r="D12" s="115" t="s">
        <v>20</v>
      </c>
      <c r="E12" s="248" t="s">
        <v>16</v>
      </c>
      <c r="F12" s="249">
        <v>60</v>
      </c>
      <c r="G12" s="115" t="s">
        <v>21</v>
      </c>
      <c r="H12" s="250">
        <f>1000000</f>
        <v>1000000</v>
      </c>
      <c r="I12" s="247">
        <v>60</v>
      </c>
      <c r="J12" s="162">
        <v>12000000</v>
      </c>
      <c r="K12" s="162">
        <v>12000000</v>
      </c>
      <c r="L12" s="162">
        <v>12000000</v>
      </c>
      <c r="M12" s="162">
        <v>12000000</v>
      </c>
      <c r="N12" s="162">
        <v>12000000</v>
      </c>
      <c r="O12" s="85">
        <f t="shared" si="0"/>
        <v>120000</v>
      </c>
      <c r="P12" s="162">
        <f t="shared" si="1"/>
        <v>60000000</v>
      </c>
      <c r="Q12" s="115" t="s">
        <v>594</v>
      </c>
      <c r="R12" s="115" t="s">
        <v>685</v>
      </c>
      <c r="S12" s="201"/>
      <c r="T12" s="28"/>
    </row>
    <row r="13" spans="1:20" s="6" customFormat="1" ht="75.75" customHeight="1">
      <c r="A13" s="462"/>
      <c r="B13" s="459"/>
      <c r="C13" s="114" t="s">
        <v>909</v>
      </c>
      <c r="D13" s="166" t="s">
        <v>686</v>
      </c>
      <c r="E13" s="248" t="s">
        <v>16</v>
      </c>
      <c r="F13" s="246">
        <v>0.8</v>
      </c>
      <c r="G13" s="115" t="s">
        <v>687</v>
      </c>
      <c r="H13" s="251">
        <v>10000000</v>
      </c>
      <c r="I13" s="247">
        <f>20*5</f>
        <v>100</v>
      </c>
      <c r="J13" s="163">
        <v>200000000</v>
      </c>
      <c r="K13" s="163">
        <v>200000000</v>
      </c>
      <c r="L13" s="163">
        <v>200000000</v>
      </c>
      <c r="M13" s="163">
        <v>200000000</v>
      </c>
      <c r="N13" s="163">
        <v>200000000</v>
      </c>
      <c r="O13" s="85">
        <f t="shared" si="0"/>
        <v>2000000</v>
      </c>
      <c r="P13" s="162">
        <f t="shared" si="1"/>
        <v>1000000000</v>
      </c>
      <c r="Q13" s="115" t="s">
        <v>594</v>
      </c>
      <c r="R13" s="115" t="s">
        <v>688</v>
      </c>
      <c r="S13" s="244"/>
      <c r="T13" s="28"/>
    </row>
    <row r="14" spans="1:53" s="7" customFormat="1" ht="46.5" customHeight="1">
      <c r="A14" s="462"/>
      <c r="B14" s="459"/>
      <c r="C14" s="536" t="s">
        <v>910</v>
      </c>
      <c r="D14" s="535" t="s">
        <v>23</v>
      </c>
      <c r="E14" s="433">
        <v>1</v>
      </c>
      <c r="F14" s="433">
        <v>5</v>
      </c>
      <c r="G14" s="116" t="s">
        <v>883</v>
      </c>
      <c r="H14" s="251">
        <v>38000000</v>
      </c>
      <c r="I14" s="247">
        <v>5</v>
      </c>
      <c r="J14" s="163">
        <f>H14</f>
        <v>38000000</v>
      </c>
      <c r="K14" s="163">
        <f>H14</f>
        <v>38000000</v>
      </c>
      <c r="L14" s="163">
        <f>K14</f>
        <v>38000000</v>
      </c>
      <c r="M14" s="163">
        <f>L14</f>
        <v>38000000</v>
      </c>
      <c r="N14" s="163">
        <f>M14</f>
        <v>38000000</v>
      </c>
      <c r="O14" s="85">
        <f t="shared" si="0"/>
        <v>380000</v>
      </c>
      <c r="P14" s="162">
        <f>H14*I14</f>
        <v>190000000</v>
      </c>
      <c r="Q14" s="115" t="s">
        <v>594</v>
      </c>
      <c r="R14" s="115" t="s">
        <v>689</v>
      </c>
      <c r="S14" s="244"/>
      <c r="T14" s="28"/>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row>
    <row r="15" spans="1:53" s="7" customFormat="1" ht="46.5" customHeight="1">
      <c r="A15" s="462"/>
      <c r="B15" s="459"/>
      <c r="C15" s="536"/>
      <c r="D15" s="535"/>
      <c r="E15" s="537"/>
      <c r="F15" s="537"/>
      <c r="G15" s="116" t="s">
        <v>884</v>
      </c>
      <c r="H15" s="251">
        <v>38000000</v>
      </c>
      <c r="I15" s="247">
        <v>5</v>
      </c>
      <c r="J15" s="163">
        <f>P15/5</f>
        <v>38000000</v>
      </c>
      <c r="K15" s="163">
        <f>P15/5</f>
        <v>38000000</v>
      </c>
      <c r="L15" s="163">
        <f>P15/5</f>
        <v>38000000</v>
      </c>
      <c r="M15" s="163">
        <f>P15/5</f>
        <v>38000000</v>
      </c>
      <c r="N15" s="163">
        <f>P15/5</f>
        <v>38000000</v>
      </c>
      <c r="O15" s="85">
        <f t="shared" si="0"/>
        <v>380000</v>
      </c>
      <c r="P15" s="162">
        <f t="shared" si="1"/>
        <v>190000000</v>
      </c>
      <c r="Q15" s="115" t="s">
        <v>594</v>
      </c>
      <c r="R15" s="115" t="s">
        <v>690</v>
      </c>
      <c r="S15" s="244"/>
      <c r="T15" s="28"/>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row>
    <row r="16" spans="1:53" s="7" customFormat="1" ht="30.75" customHeight="1">
      <c r="A16" s="462"/>
      <c r="B16" s="460"/>
      <c r="C16" s="536"/>
      <c r="D16" s="535"/>
      <c r="E16" s="434"/>
      <c r="F16" s="434"/>
      <c r="G16" s="116" t="s">
        <v>423</v>
      </c>
      <c r="H16" s="251">
        <v>25000000</v>
      </c>
      <c r="I16" s="247">
        <v>5</v>
      </c>
      <c r="J16" s="163">
        <f>P16/5</f>
        <v>25000000</v>
      </c>
      <c r="K16" s="163">
        <f>P16/5</f>
        <v>25000000</v>
      </c>
      <c r="L16" s="163">
        <f>P16/5</f>
        <v>25000000</v>
      </c>
      <c r="M16" s="163">
        <f>P16/5</f>
        <v>25000000</v>
      </c>
      <c r="N16" s="163">
        <f>P16/5</f>
        <v>25000000</v>
      </c>
      <c r="O16" s="85">
        <f t="shared" si="0"/>
        <v>250000</v>
      </c>
      <c r="P16" s="162">
        <f t="shared" si="1"/>
        <v>125000000</v>
      </c>
      <c r="Q16" s="115" t="s">
        <v>594</v>
      </c>
      <c r="R16" s="115" t="s">
        <v>690</v>
      </c>
      <c r="S16" s="244"/>
      <c r="T16" s="28"/>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row>
    <row r="17" spans="1:53" s="7" customFormat="1" ht="128.25" customHeight="1">
      <c r="A17" s="462"/>
      <c r="B17" s="542" t="s">
        <v>911</v>
      </c>
      <c r="C17" s="119" t="s">
        <v>912</v>
      </c>
      <c r="D17" s="114" t="s">
        <v>27</v>
      </c>
      <c r="E17" s="249">
        <v>0</v>
      </c>
      <c r="F17" s="249">
        <v>3</v>
      </c>
      <c r="G17" s="252" t="s">
        <v>400</v>
      </c>
      <c r="H17" s="163">
        <v>7000000</v>
      </c>
      <c r="I17" s="247">
        <v>6</v>
      </c>
      <c r="J17" s="163">
        <f>I17*H17</f>
        <v>42000000</v>
      </c>
      <c r="K17" s="163" t="s">
        <v>512</v>
      </c>
      <c r="L17" s="163" t="s">
        <v>512</v>
      </c>
      <c r="M17" s="163" t="s">
        <v>512</v>
      </c>
      <c r="N17" s="163" t="s">
        <v>512</v>
      </c>
      <c r="O17" s="85">
        <f aca="true" t="shared" si="2" ref="O17:O23">P17/500</f>
        <v>84000</v>
      </c>
      <c r="P17" s="162">
        <f t="shared" si="1"/>
        <v>42000000</v>
      </c>
      <c r="Q17" s="115" t="s">
        <v>594</v>
      </c>
      <c r="R17" s="115" t="s">
        <v>691</v>
      </c>
      <c r="S17" s="253"/>
      <c r="T17" s="28"/>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1:53" s="7" customFormat="1" ht="42" customHeight="1">
      <c r="A18" s="462"/>
      <c r="B18" s="542"/>
      <c r="C18" s="663" t="s">
        <v>913</v>
      </c>
      <c r="D18" s="254" t="s">
        <v>729</v>
      </c>
      <c r="E18" s="255"/>
      <c r="F18" s="255"/>
      <c r="G18" s="252" t="s">
        <v>852</v>
      </c>
      <c r="H18" s="163">
        <v>5000</v>
      </c>
      <c r="I18" s="256">
        <v>2000</v>
      </c>
      <c r="J18" s="163">
        <f>P18*40%</f>
        <v>4000000</v>
      </c>
      <c r="K18" s="163">
        <f>P18*40%</f>
        <v>4000000</v>
      </c>
      <c r="L18" s="163">
        <f>P18*20%</f>
        <v>2000000</v>
      </c>
      <c r="M18" s="163"/>
      <c r="N18" s="163"/>
      <c r="O18" s="85">
        <f t="shared" si="2"/>
        <v>20000</v>
      </c>
      <c r="P18" s="162">
        <f t="shared" si="1"/>
        <v>10000000</v>
      </c>
      <c r="Q18" s="115" t="s">
        <v>594</v>
      </c>
      <c r="R18" s="115" t="s">
        <v>735</v>
      </c>
      <c r="S18" s="244"/>
      <c r="T18" s="28"/>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row>
    <row r="19" spans="1:53" s="67" customFormat="1" ht="48.75" customHeight="1">
      <c r="A19" s="462"/>
      <c r="B19" s="542"/>
      <c r="C19" s="664"/>
      <c r="D19" s="166" t="s">
        <v>730</v>
      </c>
      <c r="E19" s="257"/>
      <c r="F19" s="257"/>
      <c r="G19" s="115" t="s">
        <v>851</v>
      </c>
      <c r="H19" s="163">
        <v>5000</v>
      </c>
      <c r="I19" s="256">
        <v>2000</v>
      </c>
      <c r="J19" s="163">
        <f>P19*40%</f>
        <v>4000000</v>
      </c>
      <c r="K19" s="163">
        <f>P19*40%</f>
        <v>4000000</v>
      </c>
      <c r="L19" s="163">
        <f>P19*20%</f>
        <v>2000000</v>
      </c>
      <c r="M19" s="163"/>
      <c r="N19" s="163"/>
      <c r="O19" s="85">
        <f t="shared" si="2"/>
        <v>20000</v>
      </c>
      <c r="P19" s="162">
        <f t="shared" si="1"/>
        <v>10000000</v>
      </c>
      <c r="Q19" s="115" t="s">
        <v>716</v>
      </c>
      <c r="R19" s="115" t="s">
        <v>734</v>
      </c>
      <c r="S19" s="244"/>
      <c r="T19" s="28"/>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row>
    <row r="20" spans="1:53" s="57" customFormat="1" ht="66" customHeight="1">
      <c r="A20" s="462"/>
      <c r="B20" s="542"/>
      <c r="C20" s="665"/>
      <c r="D20" s="166" t="s">
        <v>731</v>
      </c>
      <c r="E20" s="257">
        <v>0</v>
      </c>
      <c r="F20" s="257">
        <v>3000</v>
      </c>
      <c r="G20" s="166" t="s">
        <v>853</v>
      </c>
      <c r="H20" s="163">
        <v>5000</v>
      </c>
      <c r="I20" s="256">
        <v>2000</v>
      </c>
      <c r="J20" s="164">
        <f>P20*40%</f>
        <v>4000000</v>
      </c>
      <c r="K20" s="164">
        <f>P20*40%</f>
        <v>4000000</v>
      </c>
      <c r="L20" s="164">
        <f>P20*20%</f>
        <v>2000000</v>
      </c>
      <c r="M20" s="169" t="s">
        <v>512</v>
      </c>
      <c r="N20" s="169" t="s">
        <v>512</v>
      </c>
      <c r="O20" s="85">
        <f t="shared" si="2"/>
        <v>20000</v>
      </c>
      <c r="P20" s="162">
        <f t="shared" si="1"/>
        <v>10000000</v>
      </c>
      <c r="Q20" s="115" t="s">
        <v>725</v>
      </c>
      <c r="R20" s="115" t="s">
        <v>736</v>
      </c>
      <c r="S20" s="253">
        <f>P20+P23+P26+P30+P35+P39+P46+P48+P55+P58+P60+P66</f>
        <v>3186300826</v>
      </c>
      <c r="T20" s="28"/>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row>
    <row r="21" spans="1:53" s="67" customFormat="1" ht="76.5" customHeight="1">
      <c r="A21" s="462"/>
      <c r="B21" s="542"/>
      <c r="C21" s="663" t="s">
        <v>914</v>
      </c>
      <c r="D21" s="258" t="s">
        <v>741</v>
      </c>
      <c r="E21" s="257"/>
      <c r="F21" s="257"/>
      <c r="G21" s="166" t="s">
        <v>737</v>
      </c>
      <c r="H21" s="163">
        <v>96000</v>
      </c>
      <c r="I21" s="256">
        <v>200</v>
      </c>
      <c r="J21" s="164">
        <f>H21*100</f>
        <v>9600000</v>
      </c>
      <c r="K21" s="164">
        <f>H21*75</f>
        <v>7200000</v>
      </c>
      <c r="L21" s="164"/>
      <c r="M21" s="164">
        <f>H21*25</f>
        <v>2400000</v>
      </c>
      <c r="N21" s="164"/>
      <c r="O21" s="85">
        <f t="shared" si="2"/>
        <v>38400</v>
      </c>
      <c r="P21" s="162">
        <f>I21*H21</f>
        <v>19200000</v>
      </c>
      <c r="Q21" s="115" t="s">
        <v>716</v>
      </c>
      <c r="R21" s="115" t="s">
        <v>733</v>
      </c>
      <c r="S21" s="244"/>
      <c r="T21" s="28"/>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row>
    <row r="22" spans="1:53" s="42" customFormat="1" ht="63.75" customHeight="1">
      <c r="A22" s="462"/>
      <c r="B22" s="542"/>
      <c r="C22" s="664"/>
      <c r="D22" s="258" t="s">
        <v>738</v>
      </c>
      <c r="E22" s="257"/>
      <c r="F22" s="257"/>
      <c r="G22" s="166" t="s">
        <v>784</v>
      </c>
      <c r="H22" s="163">
        <v>96000</v>
      </c>
      <c r="I22" s="256">
        <v>200</v>
      </c>
      <c r="J22" s="164">
        <f>H22*75</f>
        <v>7200000</v>
      </c>
      <c r="K22" s="164">
        <f>H22*75</f>
        <v>7200000</v>
      </c>
      <c r="L22" s="164"/>
      <c r="M22" s="164">
        <f>H22*50</f>
        <v>4800000</v>
      </c>
      <c r="N22" s="164"/>
      <c r="O22" s="85">
        <f t="shared" si="2"/>
        <v>38400</v>
      </c>
      <c r="P22" s="162">
        <f>I22*H22</f>
        <v>19200000</v>
      </c>
      <c r="Q22" s="115" t="s">
        <v>594</v>
      </c>
      <c r="R22" s="115" t="s">
        <v>739</v>
      </c>
      <c r="S22" s="244"/>
      <c r="T22" s="28"/>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row>
    <row r="23" spans="1:53" s="57" customFormat="1" ht="75" customHeight="1">
      <c r="A23" s="462"/>
      <c r="B23" s="542"/>
      <c r="C23" s="665"/>
      <c r="D23" s="258" t="s">
        <v>804</v>
      </c>
      <c r="E23" s="257" t="s">
        <v>16</v>
      </c>
      <c r="F23" s="257"/>
      <c r="G23" s="166" t="s">
        <v>850</v>
      </c>
      <c r="H23" s="163">
        <v>96000</v>
      </c>
      <c r="I23" s="256">
        <v>154</v>
      </c>
      <c r="J23" s="164">
        <f>H23*100</f>
        <v>9600000</v>
      </c>
      <c r="K23" s="164">
        <f>34*H23</f>
        <v>3264000</v>
      </c>
      <c r="L23" s="164"/>
      <c r="M23" s="164">
        <f>20*H23</f>
        <v>1920000</v>
      </c>
      <c r="N23" s="164" t="s">
        <v>512</v>
      </c>
      <c r="O23" s="85">
        <f t="shared" si="2"/>
        <v>29568</v>
      </c>
      <c r="P23" s="162">
        <f t="shared" si="1"/>
        <v>14784000</v>
      </c>
      <c r="Q23" s="115" t="s">
        <v>766</v>
      </c>
      <c r="R23" s="115" t="s">
        <v>740</v>
      </c>
      <c r="S23" s="244"/>
      <c r="T23" s="28"/>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row>
    <row r="24" spans="1:53" s="7" customFormat="1" ht="75.75" customHeight="1">
      <c r="A24" s="462"/>
      <c r="B24" s="542"/>
      <c r="C24" s="534" t="s">
        <v>915</v>
      </c>
      <c r="D24" s="259" t="s">
        <v>712</v>
      </c>
      <c r="E24" s="260"/>
      <c r="F24" s="261"/>
      <c r="G24" s="262" t="s">
        <v>849</v>
      </c>
      <c r="H24" s="263">
        <v>7000000</v>
      </c>
      <c r="I24" s="264" t="s">
        <v>512</v>
      </c>
      <c r="J24" s="165" t="s">
        <v>512</v>
      </c>
      <c r="K24" s="165" t="s">
        <v>512</v>
      </c>
      <c r="L24" s="165" t="s">
        <v>512</v>
      </c>
      <c r="M24" s="165"/>
      <c r="N24" s="165" t="s">
        <v>512</v>
      </c>
      <c r="O24" s="117" t="s">
        <v>512</v>
      </c>
      <c r="P24" s="173" t="s">
        <v>512</v>
      </c>
      <c r="Q24" s="259" t="s">
        <v>594</v>
      </c>
      <c r="R24" s="259" t="s">
        <v>692</v>
      </c>
      <c r="S24" s="201"/>
      <c r="T24" s="28"/>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row>
    <row r="25" spans="1:53" s="42" customFormat="1" ht="63" customHeight="1">
      <c r="A25" s="462"/>
      <c r="B25" s="542"/>
      <c r="C25" s="534"/>
      <c r="D25" s="463" t="s">
        <v>29</v>
      </c>
      <c r="E25" s="257">
        <v>0</v>
      </c>
      <c r="F25" s="265">
        <v>0.7</v>
      </c>
      <c r="G25" s="115" t="s">
        <v>785</v>
      </c>
      <c r="H25" s="163">
        <v>12000</v>
      </c>
      <c r="I25" s="256">
        <f>8170</f>
        <v>8170</v>
      </c>
      <c r="J25" s="162">
        <f>P25*50/100</f>
        <v>49020000</v>
      </c>
      <c r="K25" s="162">
        <f>P25*40/100</f>
        <v>39216000</v>
      </c>
      <c r="L25" s="162">
        <f>I25*H25*10%</f>
        <v>9804000</v>
      </c>
      <c r="M25" s="162"/>
      <c r="N25" s="162" t="s">
        <v>512</v>
      </c>
      <c r="O25" s="85">
        <f>P25/500</f>
        <v>196080</v>
      </c>
      <c r="P25" s="162">
        <f>H25*I25</f>
        <v>98040000</v>
      </c>
      <c r="Q25" s="115" t="s">
        <v>594</v>
      </c>
      <c r="R25" s="115" t="s">
        <v>811</v>
      </c>
      <c r="S25" s="244"/>
      <c r="T25" s="28"/>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row>
    <row r="26" spans="1:53" s="57" customFormat="1" ht="69.75" customHeight="1">
      <c r="A26" s="462"/>
      <c r="B26" s="542"/>
      <c r="C26" s="534"/>
      <c r="D26" s="427"/>
      <c r="E26" s="257">
        <v>0</v>
      </c>
      <c r="F26" s="265">
        <v>0.7</v>
      </c>
      <c r="G26" s="115" t="s">
        <v>786</v>
      </c>
      <c r="H26" s="163">
        <v>12000</v>
      </c>
      <c r="I26" s="256">
        <f>8170</f>
        <v>8170</v>
      </c>
      <c r="J26" s="162">
        <f>P26*50/100</f>
        <v>49020000</v>
      </c>
      <c r="K26" s="162">
        <f>P26*40/100</f>
        <v>39216000</v>
      </c>
      <c r="L26" s="162">
        <f>P26*10/100</f>
        <v>9804000</v>
      </c>
      <c r="M26" s="162"/>
      <c r="N26" s="162" t="s">
        <v>512</v>
      </c>
      <c r="O26" s="85">
        <f>P26/500</f>
        <v>196080</v>
      </c>
      <c r="P26" s="162">
        <f>H26*I26</f>
        <v>98040000</v>
      </c>
      <c r="Q26" s="115" t="s">
        <v>766</v>
      </c>
      <c r="R26" s="115" t="s">
        <v>809</v>
      </c>
      <c r="S26" s="244"/>
      <c r="T26" s="28"/>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row>
    <row r="27" spans="1:53" s="67" customFormat="1" ht="64.5" customHeight="1">
      <c r="A27" s="462"/>
      <c r="B27" s="542"/>
      <c r="C27" s="536"/>
      <c r="D27" s="428"/>
      <c r="E27" s="257">
        <v>0</v>
      </c>
      <c r="F27" s="265">
        <v>0.7</v>
      </c>
      <c r="G27" s="115" t="s">
        <v>787</v>
      </c>
      <c r="H27" s="163">
        <v>12000</v>
      </c>
      <c r="I27" s="256">
        <f>8170</f>
        <v>8170</v>
      </c>
      <c r="J27" s="162">
        <f>P27*50/100</f>
        <v>49020000</v>
      </c>
      <c r="K27" s="162">
        <f>P27*40/100</f>
        <v>39216000</v>
      </c>
      <c r="L27" s="162">
        <f>P27*10/100</f>
        <v>9804000</v>
      </c>
      <c r="M27" s="162"/>
      <c r="N27" s="162" t="s">
        <v>512</v>
      </c>
      <c r="O27" s="85">
        <f>P27/500</f>
        <v>196080</v>
      </c>
      <c r="P27" s="162">
        <f>H27*I27</f>
        <v>98040000</v>
      </c>
      <c r="Q27" s="115" t="s">
        <v>808</v>
      </c>
      <c r="R27" s="115" t="s">
        <v>810</v>
      </c>
      <c r="S27" s="253">
        <f>P19+P21+P27+P31+P36+P38+P45+P49+P54+P59+P61</f>
        <v>2578937884</v>
      </c>
      <c r="T27" s="28"/>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row>
    <row r="28" spans="1:53" s="7" customFormat="1" ht="79.5" customHeight="1">
      <c r="A28" s="462"/>
      <c r="B28" s="542"/>
      <c r="C28" s="534" t="s">
        <v>916</v>
      </c>
      <c r="D28" s="166" t="s">
        <v>30</v>
      </c>
      <c r="E28" s="257" t="s">
        <v>16</v>
      </c>
      <c r="F28" s="265" t="s">
        <v>719</v>
      </c>
      <c r="G28" s="115" t="s">
        <v>713</v>
      </c>
      <c r="H28" s="163" t="s">
        <v>28</v>
      </c>
      <c r="I28" s="256">
        <v>1</v>
      </c>
      <c r="J28" s="162" t="s">
        <v>512</v>
      </c>
      <c r="K28" s="162" t="s">
        <v>512</v>
      </c>
      <c r="L28" s="162" t="s">
        <v>512</v>
      </c>
      <c r="M28" s="162" t="s">
        <v>512</v>
      </c>
      <c r="N28" s="162" t="s">
        <v>512</v>
      </c>
      <c r="O28" s="85" t="s">
        <v>28</v>
      </c>
      <c r="P28" s="162" t="s">
        <v>512</v>
      </c>
      <c r="Q28" s="115" t="s">
        <v>594</v>
      </c>
      <c r="R28" s="166" t="s">
        <v>693</v>
      </c>
      <c r="S28" s="201"/>
      <c r="T28" s="28"/>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row>
    <row r="29" spans="1:53" s="7" customFormat="1" ht="39" customHeight="1">
      <c r="A29" s="462"/>
      <c r="B29" s="542"/>
      <c r="C29" s="534"/>
      <c r="D29" s="463" t="s">
        <v>917</v>
      </c>
      <c r="E29" s="266"/>
      <c r="F29" s="267"/>
      <c r="G29" s="115" t="s">
        <v>848</v>
      </c>
      <c r="H29" s="163">
        <v>7000000</v>
      </c>
      <c r="I29" s="256">
        <v>2</v>
      </c>
      <c r="J29" s="162">
        <v>7000000</v>
      </c>
      <c r="K29" s="162"/>
      <c r="L29" s="162">
        <v>7000000</v>
      </c>
      <c r="M29" s="162" t="s">
        <v>512</v>
      </c>
      <c r="N29" s="162"/>
      <c r="O29" s="85"/>
      <c r="P29" s="162">
        <f>H29*I29</f>
        <v>14000000</v>
      </c>
      <c r="Q29" s="115" t="s">
        <v>594</v>
      </c>
      <c r="R29" s="166"/>
      <c r="S29" s="201"/>
      <c r="T29" s="28"/>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row>
    <row r="30" spans="1:53" s="57" customFormat="1" ht="71.25" customHeight="1">
      <c r="A30" s="462"/>
      <c r="B30" s="542"/>
      <c r="C30" s="536"/>
      <c r="D30" s="427"/>
      <c r="E30" s="456" t="s">
        <v>16</v>
      </c>
      <c r="F30" s="456">
        <v>600</v>
      </c>
      <c r="G30" s="166" t="s">
        <v>776</v>
      </c>
      <c r="H30" s="163">
        <f>45000*12</f>
        <v>540000</v>
      </c>
      <c r="I30" s="247">
        <v>500</v>
      </c>
      <c r="J30" s="162">
        <f>H30*150</f>
        <v>81000000</v>
      </c>
      <c r="K30" s="162">
        <f>H30*150</f>
        <v>81000000</v>
      </c>
      <c r="L30" s="162">
        <f>H30*150</f>
        <v>81000000</v>
      </c>
      <c r="M30" s="162">
        <f>H30*50</f>
        <v>27000000</v>
      </c>
      <c r="N30" s="162" t="s">
        <v>512</v>
      </c>
      <c r="O30" s="85">
        <f aca="true" t="shared" si="3" ref="O30:O61">P30/500</f>
        <v>540000</v>
      </c>
      <c r="P30" s="162">
        <f>H30*I30</f>
        <v>270000000</v>
      </c>
      <c r="Q30" s="115" t="s">
        <v>594</v>
      </c>
      <c r="R30" s="115" t="s">
        <v>742</v>
      </c>
      <c r="S30" s="244"/>
      <c r="T30" s="28"/>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row>
    <row r="31" spans="1:53" s="67" customFormat="1" ht="70.5" customHeight="1">
      <c r="A31" s="462"/>
      <c r="B31" s="542"/>
      <c r="C31" s="536"/>
      <c r="D31" s="427"/>
      <c r="E31" s="474"/>
      <c r="F31" s="474"/>
      <c r="G31" s="115" t="s">
        <v>794</v>
      </c>
      <c r="H31" s="163">
        <f>45000*12</f>
        <v>540000</v>
      </c>
      <c r="I31" s="247">
        <v>300</v>
      </c>
      <c r="J31" s="162">
        <f>H31*150</f>
        <v>81000000</v>
      </c>
      <c r="K31" s="162">
        <f>H31*50</f>
        <v>27000000</v>
      </c>
      <c r="L31" s="162">
        <f>H31*50</f>
        <v>27000000</v>
      </c>
      <c r="M31" s="162">
        <f>H31*50</f>
        <v>27000000</v>
      </c>
      <c r="N31" s="162" t="s">
        <v>512</v>
      </c>
      <c r="O31" s="85">
        <f t="shared" si="3"/>
        <v>324000</v>
      </c>
      <c r="P31" s="162">
        <f>H31*I31</f>
        <v>162000000</v>
      </c>
      <c r="Q31" s="115" t="s">
        <v>716</v>
      </c>
      <c r="R31" s="115" t="s">
        <v>795</v>
      </c>
      <c r="S31" s="244"/>
      <c r="T31" s="28"/>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row>
    <row r="32" spans="1:53" s="42" customFormat="1" ht="62.25" customHeight="1">
      <c r="A32" s="462"/>
      <c r="B32" s="542"/>
      <c r="C32" s="536"/>
      <c r="D32" s="427"/>
      <c r="E32" s="474"/>
      <c r="F32" s="474"/>
      <c r="G32" s="115" t="s">
        <v>777</v>
      </c>
      <c r="H32" s="163">
        <f>45000*12</f>
        <v>540000</v>
      </c>
      <c r="I32" s="247">
        <v>500</v>
      </c>
      <c r="J32" s="162">
        <f>H32*150</f>
        <v>81000000</v>
      </c>
      <c r="K32" s="162">
        <f>H32*150</f>
        <v>81000000</v>
      </c>
      <c r="L32" s="162">
        <f>H32*150</f>
        <v>81000000</v>
      </c>
      <c r="M32" s="162">
        <f>H32*50</f>
        <v>27000000</v>
      </c>
      <c r="N32" s="162"/>
      <c r="O32" s="85">
        <f aca="true" t="shared" si="4" ref="O32:O38">P32/500</f>
        <v>540000</v>
      </c>
      <c r="P32" s="162">
        <f>H32*I32</f>
        <v>270000000</v>
      </c>
      <c r="Q32" s="115" t="s">
        <v>717</v>
      </c>
      <c r="R32" s="115" t="s">
        <v>743</v>
      </c>
      <c r="S32" s="244"/>
      <c r="T32" s="28"/>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row>
    <row r="33" spans="1:53" s="42" customFormat="1" ht="37.5" customHeight="1">
      <c r="A33" s="462"/>
      <c r="B33" s="542"/>
      <c r="C33" s="536"/>
      <c r="D33" s="427"/>
      <c r="E33" s="474"/>
      <c r="F33" s="474"/>
      <c r="G33" s="115" t="s">
        <v>788</v>
      </c>
      <c r="H33" s="163">
        <v>7000000</v>
      </c>
      <c r="I33" s="247">
        <v>1</v>
      </c>
      <c r="J33" s="162">
        <f>7000000</f>
        <v>7000000</v>
      </c>
      <c r="K33" s="162"/>
      <c r="L33" s="162"/>
      <c r="M33" s="162"/>
      <c r="N33" s="162" t="s">
        <v>512</v>
      </c>
      <c r="O33" s="85"/>
      <c r="P33" s="162">
        <f>I33*H33</f>
        <v>7000000</v>
      </c>
      <c r="Q33" s="115"/>
      <c r="R33" s="115"/>
      <c r="S33" s="244"/>
      <c r="T33" s="28"/>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row>
    <row r="34" spans="1:53" s="42" customFormat="1" ht="33" customHeight="1">
      <c r="A34" s="462"/>
      <c r="B34" s="542"/>
      <c r="C34" s="536"/>
      <c r="D34" s="427"/>
      <c r="E34" s="474"/>
      <c r="F34" s="474"/>
      <c r="G34" s="115" t="s">
        <v>789</v>
      </c>
      <c r="H34" s="163">
        <f>20*10*12*5</f>
        <v>12000</v>
      </c>
      <c r="I34" s="247">
        <v>1000</v>
      </c>
      <c r="J34" s="162">
        <f>H34*200</f>
        <v>2400000</v>
      </c>
      <c r="K34" s="162">
        <f>J34</f>
        <v>2400000</v>
      </c>
      <c r="L34" s="162">
        <f>J34</f>
        <v>2400000</v>
      </c>
      <c r="M34" s="162">
        <f>J34</f>
        <v>2400000</v>
      </c>
      <c r="N34" s="162">
        <f>J34</f>
        <v>2400000</v>
      </c>
      <c r="O34" s="85"/>
      <c r="P34" s="162">
        <f>I34*H34</f>
        <v>12000000</v>
      </c>
      <c r="Q34" s="115"/>
      <c r="R34" s="115"/>
      <c r="S34" s="244"/>
      <c r="T34" s="28"/>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row>
    <row r="35" spans="1:53" s="57" customFormat="1" ht="33" customHeight="1">
      <c r="A35" s="462"/>
      <c r="B35" s="542"/>
      <c r="C35" s="536"/>
      <c r="D35" s="427"/>
      <c r="E35" s="474"/>
      <c r="F35" s="474"/>
      <c r="G35" s="115" t="s">
        <v>790</v>
      </c>
      <c r="H35" s="163">
        <f>20*10*12*5</f>
        <v>12000</v>
      </c>
      <c r="I35" s="247">
        <v>1000</v>
      </c>
      <c r="J35" s="162">
        <f>H35*200</f>
        <v>2400000</v>
      </c>
      <c r="K35" s="162">
        <f>J35</f>
        <v>2400000</v>
      </c>
      <c r="L35" s="162">
        <f>J35</f>
        <v>2400000</v>
      </c>
      <c r="M35" s="162">
        <f>J35</f>
        <v>2400000</v>
      </c>
      <c r="N35" s="162">
        <f>J35</f>
        <v>2400000</v>
      </c>
      <c r="O35" s="85"/>
      <c r="P35" s="162">
        <f>I35*H35</f>
        <v>12000000</v>
      </c>
      <c r="Q35" s="115"/>
      <c r="R35" s="115"/>
      <c r="S35" s="244"/>
      <c r="T35" s="28"/>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row>
    <row r="36" spans="1:53" s="58" customFormat="1" ht="33" customHeight="1">
      <c r="A36" s="462"/>
      <c r="B36" s="542"/>
      <c r="C36" s="536"/>
      <c r="D36" s="427"/>
      <c r="E36" s="474"/>
      <c r="F36" s="474"/>
      <c r="G36" s="115" t="s">
        <v>791</v>
      </c>
      <c r="H36" s="163">
        <f>20*10*12*5</f>
        <v>12000</v>
      </c>
      <c r="I36" s="247">
        <v>1000</v>
      </c>
      <c r="J36" s="162">
        <f>H36*200</f>
        <v>2400000</v>
      </c>
      <c r="K36" s="162">
        <f>J36</f>
        <v>2400000</v>
      </c>
      <c r="L36" s="162">
        <f>J36</f>
        <v>2400000</v>
      </c>
      <c r="M36" s="162">
        <f>J36</f>
        <v>2400000</v>
      </c>
      <c r="N36" s="162">
        <f>J36</f>
        <v>2400000</v>
      </c>
      <c r="O36" s="85"/>
      <c r="P36" s="162">
        <f>I36*H36</f>
        <v>12000000</v>
      </c>
      <c r="Q36" s="115" t="s">
        <v>716</v>
      </c>
      <c r="R36" s="115"/>
      <c r="S36" s="244"/>
      <c r="T36" s="28"/>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row>
    <row r="37" spans="1:53" s="42" customFormat="1" ht="36.75" customHeight="1">
      <c r="A37" s="462"/>
      <c r="B37" s="542"/>
      <c r="C37" s="536"/>
      <c r="D37" s="427"/>
      <c r="E37" s="474"/>
      <c r="F37" s="474"/>
      <c r="G37" s="166" t="s">
        <v>747</v>
      </c>
      <c r="H37" s="163">
        <v>1600000</v>
      </c>
      <c r="I37" s="247">
        <v>500</v>
      </c>
      <c r="J37" s="162">
        <f>H37*150</f>
        <v>240000000</v>
      </c>
      <c r="K37" s="162">
        <f>150*H37</f>
        <v>240000000</v>
      </c>
      <c r="L37" s="162">
        <f>150*H37</f>
        <v>240000000</v>
      </c>
      <c r="M37" s="162">
        <f>H37*50</f>
        <v>80000000</v>
      </c>
      <c r="N37" s="162" t="s">
        <v>512</v>
      </c>
      <c r="O37" s="85">
        <f t="shared" si="4"/>
        <v>1600000</v>
      </c>
      <c r="P37" s="162">
        <f>H37*I37</f>
        <v>800000000</v>
      </c>
      <c r="Q37" s="115" t="s">
        <v>594</v>
      </c>
      <c r="R37" s="115" t="s">
        <v>744</v>
      </c>
      <c r="S37" s="244"/>
      <c r="T37" s="28"/>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row>
    <row r="38" spans="1:53" s="67" customFormat="1" ht="45.75" customHeight="1">
      <c r="A38" s="462"/>
      <c r="B38" s="542"/>
      <c r="C38" s="536"/>
      <c r="D38" s="427"/>
      <c r="E38" s="474"/>
      <c r="F38" s="474"/>
      <c r="G38" s="166" t="s">
        <v>793</v>
      </c>
      <c r="H38" s="163">
        <v>1600000</v>
      </c>
      <c r="I38" s="247">
        <v>300</v>
      </c>
      <c r="J38" s="162">
        <f>H38*100</f>
        <v>160000000</v>
      </c>
      <c r="K38" s="162">
        <f>100*H38</f>
        <v>160000000</v>
      </c>
      <c r="L38" s="162">
        <f>50*H38</f>
        <v>80000000</v>
      </c>
      <c r="M38" s="162">
        <f>H38*50</f>
        <v>80000000</v>
      </c>
      <c r="N38" s="162"/>
      <c r="O38" s="85">
        <f t="shared" si="4"/>
        <v>960000</v>
      </c>
      <c r="P38" s="162">
        <f>H38*I38</f>
        <v>480000000</v>
      </c>
      <c r="Q38" s="115" t="s">
        <v>792</v>
      </c>
      <c r="R38" s="115" t="s">
        <v>796</v>
      </c>
      <c r="S38" s="244"/>
      <c r="T38" s="28"/>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row>
    <row r="39" spans="1:53" s="57" customFormat="1" ht="39" customHeight="1">
      <c r="A39" s="462"/>
      <c r="B39" s="542"/>
      <c r="C39" s="536"/>
      <c r="D39" s="427"/>
      <c r="E39" s="474"/>
      <c r="F39" s="474"/>
      <c r="G39" s="166" t="s">
        <v>746</v>
      </c>
      <c r="H39" s="163">
        <v>1600000</v>
      </c>
      <c r="I39" s="247">
        <v>500</v>
      </c>
      <c r="J39" s="162">
        <f>H39*150</f>
        <v>240000000</v>
      </c>
      <c r="K39" s="162">
        <f>150*H39</f>
        <v>240000000</v>
      </c>
      <c r="L39" s="162">
        <f>150*H39</f>
        <v>240000000</v>
      </c>
      <c r="M39" s="162">
        <f>H39*50</f>
        <v>80000000</v>
      </c>
      <c r="N39" s="162"/>
      <c r="O39" s="85">
        <f t="shared" si="3"/>
        <v>1600000</v>
      </c>
      <c r="P39" s="162">
        <f>H39*I39</f>
        <v>800000000</v>
      </c>
      <c r="Q39" s="115" t="s">
        <v>745</v>
      </c>
      <c r="R39" s="115" t="s">
        <v>694</v>
      </c>
      <c r="S39" s="244"/>
      <c r="T39" s="28"/>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row>
    <row r="40" spans="1:53" s="42" customFormat="1" ht="34.5" customHeight="1">
      <c r="A40" s="462"/>
      <c r="B40" s="542"/>
      <c r="C40" s="536"/>
      <c r="D40" s="427"/>
      <c r="E40" s="474"/>
      <c r="F40" s="474"/>
      <c r="G40" s="166" t="s">
        <v>797</v>
      </c>
      <c r="H40" s="163">
        <f>30000000*2</f>
        <v>60000000</v>
      </c>
      <c r="I40" s="247">
        <f>5</f>
        <v>5</v>
      </c>
      <c r="J40" s="162">
        <f>P40/5</f>
        <v>60000000</v>
      </c>
      <c r="K40" s="162">
        <v>60000000</v>
      </c>
      <c r="L40" s="162">
        <v>60000000</v>
      </c>
      <c r="M40" s="162">
        <v>60000000</v>
      </c>
      <c r="N40" s="162">
        <v>60000000</v>
      </c>
      <c r="O40" s="85">
        <f t="shared" si="3"/>
        <v>600000</v>
      </c>
      <c r="P40" s="162">
        <f>H40*I40</f>
        <v>300000000</v>
      </c>
      <c r="Q40" s="115" t="s">
        <v>594</v>
      </c>
      <c r="R40" s="115"/>
      <c r="S40" s="268"/>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row>
    <row r="41" spans="1:53" s="7" customFormat="1" ht="63">
      <c r="A41" s="462"/>
      <c r="B41" s="542"/>
      <c r="C41" s="536"/>
      <c r="D41" s="428"/>
      <c r="E41" s="457"/>
      <c r="F41" s="457"/>
      <c r="G41" s="166" t="s">
        <v>518</v>
      </c>
      <c r="H41" s="163" t="s">
        <v>28</v>
      </c>
      <c r="I41" s="247">
        <v>500</v>
      </c>
      <c r="J41" s="162" t="s">
        <v>512</v>
      </c>
      <c r="K41" s="162" t="s">
        <v>512</v>
      </c>
      <c r="L41" s="162" t="s">
        <v>512</v>
      </c>
      <c r="M41" s="162" t="s">
        <v>512</v>
      </c>
      <c r="N41" s="162" t="s">
        <v>512</v>
      </c>
      <c r="O41" s="85" t="s">
        <v>28</v>
      </c>
      <c r="P41" s="162" t="s">
        <v>512</v>
      </c>
      <c r="Q41" s="115" t="s">
        <v>594</v>
      </c>
      <c r="R41" s="115" t="s">
        <v>815</v>
      </c>
      <c r="S41" s="244"/>
      <c r="T41" s="28"/>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row>
    <row r="42" spans="1:53" s="7" customFormat="1" ht="63">
      <c r="A42" s="462"/>
      <c r="B42" s="542"/>
      <c r="C42" s="119" t="s">
        <v>918</v>
      </c>
      <c r="D42" s="166" t="s">
        <v>31</v>
      </c>
      <c r="E42" s="269" t="s">
        <v>16</v>
      </c>
      <c r="F42" s="265">
        <v>1</v>
      </c>
      <c r="G42" s="166" t="s">
        <v>919</v>
      </c>
      <c r="H42" s="163">
        <v>7000000</v>
      </c>
      <c r="I42" s="247">
        <f>4*5</f>
        <v>20</v>
      </c>
      <c r="J42" s="162">
        <f>H42*6</f>
        <v>42000000</v>
      </c>
      <c r="K42" s="162">
        <f>H42*10</f>
        <v>70000000</v>
      </c>
      <c r="L42" s="162">
        <f>H42*4</f>
        <v>28000000</v>
      </c>
      <c r="M42" s="162" t="s">
        <v>512</v>
      </c>
      <c r="N42" s="162" t="s">
        <v>512</v>
      </c>
      <c r="O42" s="85">
        <f t="shared" si="3"/>
        <v>280000</v>
      </c>
      <c r="P42" s="162">
        <f>H42*I42</f>
        <v>140000000</v>
      </c>
      <c r="Q42" s="115" t="s">
        <v>594</v>
      </c>
      <c r="R42" s="115"/>
      <c r="S42" s="244"/>
      <c r="T42" s="28"/>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row>
    <row r="43" spans="1:53" s="7" customFormat="1" ht="51" customHeight="1">
      <c r="A43" s="462"/>
      <c r="B43" s="542"/>
      <c r="C43" s="119" t="s">
        <v>920</v>
      </c>
      <c r="D43" s="166" t="s">
        <v>32</v>
      </c>
      <c r="E43" s="269" t="s">
        <v>16</v>
      </c>
      <c r="F43" s="265">
        <v>1</v>
      </c>
      <c r="G43" s="166" t="s">
        <v>921</v>
      </c>
      <c r="H43" s="163">
        <v>7000000</v>
      </c>
      <c r="I43" s="247">
        <f>4*5</f>
        <v>20</v>
      </c>
      <c r="J43" s="162">
        <f>H43*4</f>
        <v>28000000</v>
      </c>
      <c r="K43" s="162">
        <f>H43*10</f>
        <v>70000000</v>
      </c>
      <c r="L43" s="162">
        <f>H43*6</f>
        <v>42000000</v>
      </c>
      <c r="M43" s="162" t="s">
        <v>512</v>
      </c>
      <c r="N43" s="162" t="s">
        <v>512</v>
      </c>
      <c r="O43" s="85">
        <f t="shared" si="3"/>
        <v>280000</v>
      </c>
      <c r="P43" s="162">
        <f>H43*I43</f>
        <v>140000000</v>
      </c>
      <c r="Q43" s="115" t="s">
        <v>594</v>
      </c>
      <c r="R43" s="115" t="s">
        <v>695</v>
      </c>
      <c r="S43" s="244"/>
      <c r="T43" s="28"/>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row>
    <row r="44" spans="1:53" s="42" customFormat="1" ht="51" customHeight="1">
      <c r="A44" s="462"/>
      <c r="B44" s="542"/>
      <c r="C44" s="660" t="s">
        <v>922</v>
      </c>
      <c r="D44" s="463" t="s">
        <v>33</v>
      </c>
      <c r="E44" s="269" t="s">
        <v>16</v>
      </c>
      <c r="F44" s="265">
        <v>1</v>
      </c>
      <c r="G44" s="166" t="s">
        <v>748</v>
      </c>
      <c r="H44" s="163">
        <f>35000000</f>
        <v>35000000</v>
      </c>
      <c r="I44" s="247">
        <v>10</v>
      </c>
      <c r="J44" s="162">
        <f>H44*2</f>
        <v>70000000</v>
      </c>
      <c r="K44" s="162">
        <f>2*H44</f>
        <v>70000000</v>
      </c>
      <c r="L44" s="162">
        <f>2*H44</f>
        <v>70000000</v>
      </c>
      <c r="M44" s="162">
        <f>2*H44</f>
        <v>70000000</v>
      </c>
      <c r="N44" s="162">
        <f>2*H44</f>
        <v>70000000</v>
      </c>
      <c r="O44" s="85">
        <f>P44/500</f>
        <v>700000</v>
      </c>
      <c r="P44" s="162">
        <f>H44*I44</f>
        <v>350000000</v>
      </c>
      <c r="Q44" s="115" t="s">
        <v>594</v>
      </c>
      <c r="R44" s="115" t="s">
        <v>814</v>
      </c>
      <c r="S44" s="244"/>
      <c r="T44" s="28"/>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row>
    <row r="45" spans="1:53" s="67" customFormat="1" ht="49.5" customHeight="1">
      <c r="A45" s="462"/>
      <c r="B45" s="542"/>
      <c r="C45" s="661"/>
      <c r="D45" s="427"/>
      <c r="E45" s="269" t="s">
        <v>16</v>
      </c>
      <c r="F45" s="265">
        <v>1</v>
      </c>
      <c r="G45" s="166" t="s">
        <v>778</v>
      </c>
      <c r="H45" s="163">
        <f>35000000</f>
        <v>35000000</v>
      </c>
      <c r="I45" s="247">
        <v>10</v>
      </c>
      <c r="J45" s="162">
        <f>2*H45</f>
        <v>70000000</v>
      </c>
      <c r="K45" s="162">
        <f>2*H45</f>
        <v>70000000</v>
      </c>
      <c r="L45" s="162">
        <f>2*H45</f>
        <v>70000000</v>
      </c>
      <c r="M45" s="162">
        <f>2*H45</f>
        <v>70000000</v>
      </c>
      <c r="N45" s="162">
        <f>2*H45</f>
        <v>70000000</v>
      </c>
      <c r="O45" s="85">
        <f>P45/500</f>
        <v>700000</v>
      </c>
      <c r="P45" s="162">
        <f>H45*I45</f>
        <v>350000000</v>
      </c>
      <c r="Q45" s="115" t="s">
        <v>716</v>
      </c>
      <c r="R45" s="115" t="s">
        <v>813</v>
      </c>
      <c r="S45" s="244"/>
      <c r="T45" s="28"/>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row>
    <row r="46" spans="1:53" s="57" customFormat="1" ht="63">
      <c r="A46" s="462"/>
      <c r="B46" s="542"/>
      <c r="C46" s="662"/>
      <c r="D46" s="428"/>
      <c r="E46" s="269" t="s">
        <v>16</v>
      </c>
      <c r="F46" s="265">
        <v>1</v>
      </c>
      <c r="G46" s="166" t="s">
        <v>749</v>
      </c>
      <c r="H46" s="163">
        <f>35000000</f>
        <v>35000000</v>
      </c>
      <c r="I46" s="247">
        <v>10</v>
      </c>
      <c r="J46" s="162">
        <f>2*H46</f>
        <v>70000000</v>
      </c>
      <c r="K46" s="162">
        <f>2*H46</f>
        <v>70000000</v>
      </c>
      <c r="L46" s="162">
        <f>2*H46</f>
        <v>70000000</v>
      </c>
      <c r="M46" s="162">
        <f>2*H46</f>
        <v>70000000</v>
      </c>
      <c r="N46" s="162">
        <f>2*H46</f>
        <v>70000000</v>
      </c>
      <c r="O46" s="85">
        <f t="shared" si="3"/>
        <v>700000</v>
      </c>
      <c r="P46" s="162">
        <f>H46*I46</f>
        <v>350000000</v>
      </c>
      <c r="Q46" s="115" t="s">
        <v>717</v>
      </c>
      <c r="R46" s="115" t="s">
        <v>812</v>
      </c>
      <c r="S46" s="244"/>
      <c r="T46" s="28"/>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row>
    <row r="47" spans="1:53" s="42" customFormat="1" ht="37.5" customHeight="1">
      <c r="A47" s="462"/>
      <c r="B47" s="542"/>
      <c r="C47" s="660" t="s">
        <v>923</v>
      </c>
      <c r="D47" s="463" t="s">
        <v>750</v>
      </c>
      <c r="E47" s="269" t="s">
        <v>16</v>
      </c>
      <c r="F47" s="265">
        <v>1</v>
      </c>
      <c r="G47" s="166" t="s">
        <v>751</v>
      </c>
      <c r="H47" s="163">
        <f>30000</f>
        <v>30000</v>
      </c>
      <c r="I47" s="247">
        <f>8342978.84*20%/60</f>
        <v>27809.92946666667</v>
      </c>
      <c r="J47" s="162">
        <f>I47*H47*30%</f>
        <v>250289365.2</v>
      </c>
      <c r="K47" s="162">
        <f>I47*30%*H47</f>
        <v>250289365.2</v>
      </c>
      <c r="L47" s="162">
        <f>30%*I47*H47</f>
        <v>250289365.2</v>
      </c>
      <c r="M47" s="162">
        <f>I47*10%*H47</f>
        <v>83429788.40000002</v>
      </c>
      <c r="N47" s="162"/>
      <c r="O47" s="85">
        <f t="shared" si="3"/>
        <v>1668595.768</v>
      </c>
      <c r="P47" s="162">
        <f>I47*H47</f>
        <v>834297884</v>
      </c>
      <c r="Q47" s="115" t="s">
        <v>756</v>
      </c>
      <c r="R47" s="115" t="s">
        <v>754</v>
      </c>
      <c r="S47" s="244"/>
      <c r="T47" s="213"/>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row>
    <row r="48" spans="1:53" s="57" customFormat="1" ht="45.75" customHeight="1">
      <c r="A48" s="462"/>
      <c r="B48" s="542"/>
      <c r="C48" s="661"/>
      <c r="D48" s="427"/>
      <c r="E48" s="269" t="s">
        <v>16</v>
      </c>
      <c r="F48" s="265">
        <v>1</v>
      </c>
      <c r="G48" s="166" t="s">
        <v>752</v>
      </c>
      <c r="H48" s="163">
        <f>30000</f>
        <v>30000</v>
      </c>
      <c r="I48" s="247">
        <f>8342978.84*30%/60</f>
        <v>41714.894199999995</v>
      </c>
      <c r="J48" s="162">
        <f>I48*H48*30%</f>
        <v>375434047.7999999</v>
      </c>
      <c r="K48" s="162">
        <f>I48*30%*H48</f>
        <v>375434047.79999995</v>
      </c>
      <c r="L48" s="162">
        <f>30%*I48*H48</f>
        <v>375434047.79999995</v>
      </c>
      <c r="M48" s="162">
        <f>I48*10%*H48</f>
        <v>125144682.6</v>
      </c>
      <c r="N48" s="162"/>
      <c r="O48" s="85">
        <f t="shared" si="3"/>
        <v>2502893.6519999993</v>
      </c>
      <c r="P48" s="162">
        <f>I48*H48</f>
        <v>1251446825.9999998</v>
      </c>
      <c r="Q48" s="115" t="s">
        <v>802</v>
      </c>
      <c r="R48" s="115" t="s">
        <v>755</v>
      </c>
      <c r="S48" s="244"/>
      <c r="T48" s="213"/>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row>
    <row r="49" spans="1:53" s="67" customFormat="1" ht="49.5" customHeight="1">
      <c r="A49" s="462"/>
      <c r="B49" s="542"/>
      <c r="C49" s="661"/>
      <c r="D49" s="427"/>
      <c r="E49" s="269" t="s">
        <v>16</v>
      </c>
      <c r="F49" s="265">
        <v>1</v>
      </c>
      <c r="G49" s="166" t="s">
        <v>753</v>
      </c>
      <c r="H49" s="163">
        <f>30000</f>
        <v>30000</v>
      </c>
      <c r="I49" s="247">
        <f>8342978.84*20%/60</f>
        <v>27809.92946666667</v>
      </c>
      <c r="J49" s="162">
        <f>I49*H49*30%</f>
        <v>250289365.2</v>
      </c>
      <c r="K49" s="162">
        <f>I49*30%*H49</f>
        <v>250289365.2</v>
      </c>
      <c r="L49" s="162">
        <f>30%*I49*H49</f>
        <v>250289365.2</v>
      </c>
      <c r="M49" s="162">
        <f>I49*10%*H49</f>
        <v>83429788.40000002</v>
      </c>
      <c r="N49" s="162">
        <v>0</v>
      </c>
      <c r="O49" s="85">
        <f>P49/500</f>
        <v>1668595.768</v>
      </c>
      <c r="P49" s="162">
        <f>I49*H49</f>
        <v>834297884</v>
      </c>
      <c r="Q49" s="115" t="s">
        <v>716</v>
      </c>
      <c r="R49" s="115" t="s">
        <v>755</v>
      </c>
      <c r="S49" s="244"/>
      <c r="T49" s="213"/>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row>
    <row r="50" spans="1:53" s="7" customFormat="1" ht="45" customHeight="1">
      <c r="A50" s="462"/>
      <c r="B50" s="542"/>
      <c r="C50" s="662"/>
      <c r="D50" s="166" t="s">
        <v>34</v>
      </c>
      <c r="E50" s="269" t="s">
        <v>16</v>
      </c>
      <c r="F50" s="265">
        <v>0.8</v>
      </c>
      <c r="G50" s="166" t="s">
        <v>35</v>
      </c>
      <c r="H50" s="163">
        <f>0</f>
        <v>0</v>
      </c>
      <c r="I50" s="247">
        <f>1551502*80%</f>
        <v>1241201.6</v>
      </c>
      <c r="J50" s="162" t="s">
        <v>512</v>
      </c>
      <c r="K50" s="162" t="s">
        <v>512</v>
      </c>
      <c r="L50" s="162" t="s">
        <v>512</v>
      </c>
      <c r="M50" s="162" t="s">
        <v>512</v>
      </c>
      <c r="N50" s="162">
        <v>0</v>
      </c>
      <c r="O50" s="85" t="s">
        <v>28</v>
      </c>
      <c r="P50" s="162" t="s">
        <v>512</v>
      </c>
      <c r="Q50" s="115" t="s">
        <v>594</v>
      </c>
      <c r="R50" s="115" t="s">
        <v>696</v>
      </c>
      <c r="S50" s="244"/>
      <c r="T50" s="28"/>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row>
    <row r="51" spans="1:53" s="54" customFormat="1" ht="91.5" customHeight="1">
      <c r="A51" s="462"/>
      <c r="B51" s="485" t="s">
        <v>924</v>
      </c>
      <c r="C51" s="483" t="s">
        <v>925</v>
      </c>
      <c r="D51" s="464" t="s">
        <v>36</v>
      </c>
      <c r="E51" s="668" t="s">
        <v>16</v>
      </c>
      <c r="F51" s="445">
        <v>0.7</v>
      </c>
      <c r="G51" s="166" t="s">
        <v>856</v>
      </c>
      <c r="H51" s="162">
        <v>7000000</v>
      </c>
      <c r="I51" s="247">
        <v>4</v>
      </c>
      <c r="J51" s="162">
        <f>2*H51</f>
        <v>14000000</v>
      </c>
      <c r="K51" s="162">
        <f>2*H51</f>
        <v>14000000</v>
      </c>
      <c r="L51" s="166" t="s">
        <v>512</v>
      </c>
      <c r="M51" s="166" t="s">
        <v>512</v>
      </c>
      <c r="N51" s="166" t="s">
        <v>512</v>
      </c>
      <c r="O51" s="85">
        <f t="shared" si="3"/>
        <v>56000</v>
      </c>
      <c r="P51" s="162">
        <f aca="true" t="shared" si="5" ref="P51:P61">H51*I51</f>
        <v>28000000</v>
      </c>
      <c r="Q51" s="115" t="s">
        <v>594</v>
      </c>
      <c r="R51" s="115" t="s">
        <v>697</v>
      </c>
      <c r="S51" s="244"/>
      <c r="T51" s="28"/>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row>
    <row r="52" spans="1:53" s="42" customFormat="1" ht="78.75">
      <c r="A52" s="462"/>
      <c r="B52" s="486"/>
      <c r="C52" s="504"/>
      <c r="D52" s="464"/>
      <c r="E52" s="669"/>
      <c r="F52" s="446"/>
      <c r="G52" s="166" t="s">
        <v>779</v>
      </c>
      <c r="H52" s="163">
        <v>7000000</v>
      </c>
      <c r="I52" s="247">
        <v>12</v>
      </c>
      <c r="J52" s="162">
        <f>8*H52</f>
        <v>56000000</v>
      </c>
      <c r="K52" s="162">
        <f>4*H52</f>
        <v>28000000</v>
      </c>
      <c r="L52" s="162" t="s">
        <v>512</v>
      </c>
      <c r="M52" s="162" t="s">
        <v>512</v>
      </c>
      <c r="N52" s="162" t="s">
        <v>512</v>
      </c>
      <c r="O52" s="85">
        <f t="shared" si="3"/>
        <v>168000</v>
      </c>
      <c r="P52" s="162">
        <f t="shared" si="5"/>
        <v>84000000</v>
      </c>
      <c r="Q52" s="115" t="s">
        <v>780</v>
      </c>
      <c r="R52" s="115" t="s">
        <v>781</v>
      </c>
      <c r="S52" s="244"/>
      <c r="T52" s="28"/>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row>
    <row r="53" spans="1:53" s="42" customFormat="1" ht="63">
      <c r="A53" s="462"/>
      <c r="B53" s="486"/>
      <c r="C53" s="504"/>
      <c r="D53" s="464"/>
      <c r="E53" s="669"/>
      <c r="F53" s="446"/>
      <c r="G53" s="166" t="s">
        <v>798</v>
      </c>
      <c r="H53" s="163">
        <v>7000000</v>
      </c>
      <c r="I53" s="247">
        <f>1945*70%/50*5</f>
        <v>136.15</v>
      </c>
      <c r="J53" s="162">
        <f>I53*30%*H53</f>
        <v>285915000</v>
      </c>
      <c r="K53" s="162">
        <f>I53*50%*H53</f>
        <v>476525000</v>
      </c>
      <c r="L53" s="162">
        <f>I53*20%*H53</f>
        <v>190610000.00000003</v>
      </c>
      <c r="M53" s="162" t="s">
        <v>512</v>
      </c>
      <c r="N53" s="162" t="s">
        <v>512</v>
      </c>
      <c r="O53" s="85">
        <f>P53/500</f>
        <v>1906100</v>
      </c>
      <c r="P53" s="162">
        <f>H53*I53</f>
        <v>953050000</v>
      </c>
      <c r="Q53" s="115" t="s">
        <v>624</v>
      </c>
      <c r="R53" s="115" t="s">
        <v>732</v>
      </c>
      <c r="S53" s="244"/>
      <c r="T53" s="28"/>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row>
    <row r="54" spans="1:53" s="58" customFormat="1" ht="47.25">
      <c r="A54" s="462"/>
      <c r="B54" s="486"/>
      <c r="C54" s="504"/>
      <c r="D54" s="464"/>
      <c r="E54" s="669"/>
      <c r="F54" s="446"/>
      <c r="G54" s="166" t="s">
        <v>799</v>
      </c>
      <c r="H54" s="163">
        <v>7000000</v>
      </c>
      <c r="I54" s="247">
        <v>86</v>
      </c>
      <c r="J54" s="162">
        <f>I54*40%*H54</f>
        <v>240800000</v>
      </c>
      <c r="K54" s="162">
        <f>I54*50%*H54</f>
        <v>301000000</v>
      </c>
      <c r="L54" s="162">
        <f>I54*10%*H54</f>
        <v>60200000</v>
      </c>
      <c r="M54" s="162" t="s">
        <v>512</v>
      </c>
      <c r="N54" s="162" t="s">
        <v>512</v>
      </c>
      <c r="O54" s="85">
        <f>P54/500</f>
        <v>1204000</v>
      </c>
      <c r="P54" s="162">
        <f>H54*I54</f>
        <v>602000000</v>
      </c>
      <c r="Q54" s="115" t="s">
        <v>764</v>
      </c>
      <c r="R54" s="115" t="s">
        <v>765</v>
      </c>
      <c r="S54" s="244"/>
      <c r="T54" s="28"/>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row>
    <row r="55" spans="1:53" s="57" customFormat="1" ht="51" customHeight="1">
      <c r="A55" s="462"/>
      <c r="B55" s="486"/>
      <c r="C55" s="504"/>
      <c r="D55" s="464"/>
      <c r="E55" s="669"/>
      <c r="F55" s="446"/>
      <c r="G55" s="166" t="s">
        <v>800</v>
      </c>
      <c r="H55" s="163">
        <v>7000000</v>
      </c>
      <c r="I55" s="247">
        <v>50</v>
      </c>
      <c r="J55" s="162">
        <f>I55*40%*H55</f>
        <v>140000000</v>
      </c>
      <c r="K55" s="162">
        <f>I55*50%*H55</f>
        <v>175000000</v>
      </c>
      <c r="L55" s="162">
        <f>I55*10%*H55</f>
        <v>35000000</v>
      </c>
      <c r="M55" s="162" t="s">
        <v>512</v>
      </c>
      <c r="N55" s="162" t="s">
        <v>512</v>
      </c>
      <c r="O55" s="85">
        <f t="shared" si="3"/>
        <v>700000</v>
      </c>
      <c r="P55" s="162">
        <f t="shared" si="5"/>
        <v>350000000</v>
      </c>
      <c r="Q55" s="115" t="s">
        <v>726</v>
      </c>
      <c r="R55" s="115" t="s">
        <v>763</v>
      </c>
      <c r="S55" s="244"/>
      <c r="T55" s="28"/>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row>
    <row r="56" spans="1:53" s="7" customFormat="1" ht="67.5" customHeight="1">
      <c r="A56" s="462"/>
      <c r="B56" s="486"/>
      <c r="C56" s="484"/>
      <c r="D56" s="464"/>
      <c r="E56" s="670"/>
      <c r="F56" s="447"/>
      <c r="G56" s="166" t="s">
        <v>519</v>
      </c>
      <c r="H56" s="163">
        <v>96000</v>
      </c>
      <c r="I56" s="247">
        <f>1945+(1945*20%)</f>
        <v>2334</v>
      </c>
      <c r="J56" s="162">
        <f>I56*40%*H56</f>
        <v>89625600</v>
      </c>
      <c r="K56" s="162">
        <f>I56*50%*H56</f>
        <v>112032000</v>
      </c>
      <c r="L56" s="162">
        <f>I56*10%*H56</f>
        <v>22406400</v>
      </c>
      <c r="M56" s="162"/>
      <c r="N56" s="162" t="s">
        <v>512</v>
      </c>
      <c r="O56" s="85">
        <f t="shared" si="3"/>
        <v>448128</v>
      </c>
      <c r="P56" s="162">
        <f t="shared" si="5"/>
        <v>224064000</v>
      </c>
      <c r="Q56" s="115" t="s">
        <v>594</v>
      </c>
      <c r="R56" s="115" t="s">
        <v>594</v>
      </c>
      <c r="S56" s="244"/>
      <c r="T56" s="28"/>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row>
    <row r="57" spans="1:53" s="7" customFormat="1" ht="60" customHeight="1">
      <c r="A57" s="462"/>
      <c r="B57" s="486"/>
      <c r="C57" s="114" t="s">
        <v>926</v>
      </c>
      <c r="D57" s="166" t="s">
        <v>698</v>
      </c>
      <c r="E57" s="257"/>
      <c r="F57" s="257"/>
      <c r="G57" s="115" t="s">
        <v>37</v>
      </c>
      <c r="H57" s="163">
        <v>1300000</v>
      </c>
      <c r="I57" s="247">
        <v>1000</v>
      </c>
      <c r="J57" s="162">
        <f>200*H57</f>
        <v>260000000</v>
      </c>
      <c r="K57" s="162">
        <f>350*H57</f>
        <v>455000000</v>
      </c>
      <c r="L57" s="162">
        <f>350*H57</f>
        <v>455000000</v>
      </c>
      <c r="M57" s="162">
        <f>100*H57</f>
        <v>130000000</v>
      </c>
      <c r="N57" s="162" t="s">
        <v>512</v>
      </c>
      <c r="O57" s="85">
        <f t="shared" si="3"/>
        <v>2600000</v>
      </c>
      <c r="P57" s="162">
        <f t="shared" si="5"/>
        <v>1300000000</v>
      </c>
      <c r="Q57" s="115" t="s">
        <v>594</v>
      </c>
      <c r="R57" s="115" t="s">
        <v>699</v>
      </c>
      <c r="S57" s="244"/>
      <c r="T57" s="28"/>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row>
    <row r="58" spans="1:53" s="57" customFormat="1" ht="63.75" customHeight="1">
      <c r="A58" s="462"/>
      <c r="B58" s="486"/>
      <c r="C58" s="483" t="s">
        <v>927</v>
      </c>
      <c r="D58" s="463" t="s">
        <v>700</v>
      </c>
      <c r="E58" s="266"/>
      <c r="F58" s="266"/>
      <c r="G58" s="166" t="s">
        <v>801</v>
      </c>
      <c r="H58" s="163">
        <v>96000</v>
      </c>
      <c r="I58" s="247">
        <f>45</f>
        <v>45</v>
      </c>
      <c r="J58" s="162">
        <f>I58*50%*H58</f>
        <v>2160000</v>
      </c>
      <c r="K58" s="162">
        <f>I58*30%*H58</f>
        <v>1296000</v>
      </c>
      <c r="L58" s="162">
        <f>I58*20%*H58</f>
        <v>864000</v>
      </c>
      <c r="M58" s="162" t="s">
        <v>512</v>
      </c>
      <c r="N58" s="162" t="s">
        <v>512</v>
      </c>
      <c r="O58" s="85">
        <f>P58/500</f>
        <v>8640</v>
      </c>
      <c r="P58" s="162">
        <f>H58*I58</f>
        <v>4320000</v>
      </c>
      <c r="Q58" s="115" t="s">
        <v>768</v>
      </c>
      <c r="R58" s="115" t="s">
        <v>651</v>
      </c>
      <c r="S58" s="244"/>
      <c r="T58" s="28"/>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row>
    <row r="59" spans="1:53" s="67" customFormat="1" ht="58.5" customHeight="1">
      <c r="A59" s="462"/>
      <c r="B59" s="486"/>
      <c r="C59" s="504"/>
      <c r="D59" s="427"/>
      <c r="E59" s="668" t="s">
        <v>16</v>
      </c>
      <c r="F59" s="445">
        <v>1</v>
      </c>
      <c r="G59" s="166" t="s">
        <v>803</v>
      </c>
      <c r="H59" s="163">
        <v>96000</v>
      </c>
      <c r="I59" s="247">
        <f>100</f>
        <v>100</v>
      </c>
      <c r="J59" s="162">
        <f>I59*50%*H59</f>
        <v>4800000</v>
      </c>
      <c r="K59" s="162">
        <f>I59*40%*H59</f>
        <v>3840000</v>
      </c>
      <c r="L59" s="162">
        <f>I59*10%*H59</f>
        <v>960000</v>
      </c>
      <c r="M59" s="162" t="s">
        <v>512</v>
      </c>
      <c r="N59" s="162" t="s">
        <v>512</v>
      </c>
      <c r="O59" s="85">
        <f t="shared" si="3"/>
        <v>19200</v>
      </c>
      <c r="P59" s="162">
        <f>H59*I59</f>
        <v>9600000</v>
      </c>
      <c r="Q59" s="115" t="s">
        <v>767</v>
      </c>
      <c r="R59" s="115" t="s">
        <v>651</v>
      </c>
      <c r="S59" s="244"/>
      <c r="T59" s="28"/>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row>
    <row r="60" spans="1:53" s="57" customFormat="1" ht="47.25" customHeight="1">
      <c r="A60" s="462"/>
      <c r="B60" s="486"/>
      <c r="C60" s="504"/>
      <c r="D60" s="427"/>
      <c r="E60" s="669"/>
      <c r="F60" s="446"/>
      <c r="G60" s="166" t="s">
        <v>38</v>
      </c>
      <c r="H60" s="163">
        <f>1500*12</f>
        <v>18000</v>
      </c>
      <c r="I60" s="247">
        <f>45</f>
        <v>45</v>
      </c>
      <c r="J60" s="162">
        <f>I60*50%*H60</f>
        <v>405000</v>
      </c>
      <c r="K60" s="162">
        <f>I60*40%*H60</f>
        <v>324000</v>
      </c>
      <c r="L60" s="162">
        <f>I60*10%*H60</f>
        <v>81000</v>
      </c>
      <c r="M60" s="162" t="s">
        <v>512</v>
      </c>
      <c r="N60" s="162" t="s">
        <v>512</v>
      </c>
      <c r="O60" s="85">
        <f>P60/500</f>
        <v>1620</v>
      </c>
      <c r="P60" s="162">
        <f>H60*I60</f>
        <v>810000</v>
      </c>
      <c r="Q60" s="115" t="s">
        <v>766</v>
      </c>
      <c r="R60" s="115" t="s">
        <v>651</v>
      </c>
      <c r="S60" s="244"/>
      <c r="T60" s="28"/>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row>
    <row r="61" spans="1:53" s="67" customFormat="1" ht="48" customHeight="1">
      <c r="A61" s="462"/>
      <c r="B61" s="486"/>
      <c r="C61" s="484"/>
      <c r="D61" s="428"/>
      <c r="E61" s="670"/>
      <c r="F61" s="447"/>
      <c r="G61" s="166" t="s">
        <v>38</v>
      </c>
      <c r="H61" s="163">
        <f>1500*12</f>
        <v>18000</v>
      </c>
      <c r="I61" s="247">
        <f>100</f>
        <v>100</v>
      </c>
      <c r="J61" s="162">
        <f>I61*50%*H61</f>
        <v>900000</v>
      </c>
      <c r="K61" s="162">
        <f>I61*40%*H61</f>
        <v>720000</v>
      </c>
      <c r="L61" s="162">
        <f>I61*10%*H61</f>
        <v>180000</v>
      </c>
      <c r="M61" s="162" t="s">
        <v>512</v>
      </c>
      <c r="N61" s="162" t="s">
        <v>512</v>
      </c>
      <c r="O61" s="85">
        <f t="shared" si="3"/>
        <v>3600</v>
      </c>
      <c r="P61" s="162">
        <f t="shared" si="5"/>
        <v>1800000</v>
      </c>
      <c r="Q61" s="115" t="s">
        <v>716</v>
      </c>
      <c r="R61" s="115" t="s">
        <v>651</v>
      </c>
      <c r="S61" s="244"/>
      <c r="T61" s="28"/>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row>
    <row r="62" spans="1:53" s="7" customFormat="1" ht="75" customHeight="1">
      <c r="A62" s="462"/>
      <c r="B62" s="486"/>
      <c r="C62" s="119" t="s">
        <v>928</v>
      </c>
      <c r="D62" s="166" t="s">
        <v>39</v>
      </c>
      <c r="E62" s="257"/>
      <c r="F62" s="257"/>
      <c r="G62" s="166" t="s">
        <v>40</v>
      </c>
      <c r="H62" s="163" t="s">
        <v>28</v>
      </c>
      <c r="I62" s="247" t="s">
        <v>28</v>
      </c>
      <c r="J62" s="162" t="s">
        <v>512</v>
      </c>
      <c r="K62" s="162" t="s">
        <v>512</v>
      </c>
      <c r="L62" s="162" t="s">
        <v>512</v>
      </c>
      <c r="M62" s="162" t="s">
        <v>512</v>
      </c>
      <c r="N62" s="162" t="s">
        <v>512</v>
      </c>
      <c r="O62" s="85" t="s">
        <v>28</v>
      </c>
      <c r="P62" s="162" t="s">
        <v>512</v>
      </c>
      <c r="Q62" s="115" t="s">
        <v>594</v>
      </c>
      <c r="R62" s="115" t="s">
        <v>701</v>
      </c>
      <c r="S62" s="244"/>
      <c r="T62" s="28"/>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row>
    <row r="63" spans="1:53" s="7" customFormat="1" ht="57" customHeight="1">
      <c r="A63" s="462"/>
      <c r="B63" s="486"/>
      <c r="C63" s="660" t="s">
        <v>929</v>
      </c>
      <c r="D63" s="166" t="s">
        <v>857</v>
      </c>
      <c r="E63" s="257"/>
      <c r="F63" s="257"/>
      <c r="G63" s="166" t="s">
        <v>721</v>
      </c>
      <c r="H63" s="163">
        <f>7000000</f>
        <v>7000000</v>
      </c>
      <c r="I63" s="247">
        <v>1</v>
      </c>
      <c r="J63" s="162">
        <v>7000000</v>
      </c>
      <c r="K63" s="162" t="s">
        <v>512</v>
      </c>
      <c r="L63" s="167" t="s">
        <v>512</v>
      </c>
      <c r="M63" s="162" t="s">
        <v>512</v>
      </c>
      <c r="N63" s="162" t="s">
        <v>512</v>
      </c>
      <c r="O63" s="85"/>
      <c r="P63" s="162">
        <f aca="true" t="shared" si="6" ref="P63:P69">H63*I63</f>
        <v>7000000</v>
      </c>
      <c r="Q63" s="115" t="s">
        <v>594</v>
      </c>
      <c r="R63" s="115" t="s">
        <v>720</v>
      </c>
      <c r="S63" s="244"/>
      <c r="T63" s="28"/>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row>
    <row r="64" spans="1:53" s="7" customFormat="1" ht="51.75" customHeight="1">
      <c r="A64" s="462"/>
      <c r="B64" s="486"/>
      <c r="C64" s="666"/>
      <c r="D64" s="501" t="s">
        <v>702</v>
      </c>
      <c r="E64" s="257"/>
      <c r="F64" s="257"/>
      <c r="G64" s="166" t="s">
        <v>859</v>
      </c>
      <c r="H64" s="163">
        <v>7000000</v>
      </c>
      <c r="I64" s="247">
        <v>10</v>
      </c>
      <c r="J64" s="162">
        <f>H64*4</f>
        <v>28000000</v>
      </c>
      <c r="K64" s="162">
        <f>H64*4</f>
        <v>28000000</v>
      </c>
      <c r="L64" s="167">
        <f>H64*2</f>
        <v>14000000</v>
      </c>
      <c r="M64" s="162" t="s">
        <v>512</v>
      </c>
      <c r="N64" s="162"/>
      <c r="O64" s="85">
        <f aca="true" t="shared" si="7" ref="O64:O69">P64/500</f>
        <v>140000</v>
      </c>
      <c r="P64" s="162">
        <f t="shared" si="6"/>
        <v>70000000</v>
      </c>
      <c r="Q64" s="115" t="s">
        <v>594</v>
      </c>
      <c r="R64" s="115" t="s">
        <v>720</v>
      </c>
      <c r="S64" s="244"/>
      <c r="T64" s="28"/>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row>
    <row r="65" spans="1:53" s="78" customFormat="1" ht="57.75" customHeight="1">
      <c r="A65" s="462"/>
      <c r="B65" s="486"/>
      <c r="C65" s="666"/>
      <c r="D65" s="502"/>
      <c r="E65" s="270" t="s">
        <v>16</v>
      </c>
      <c r="F65" s="271">
        <v>0.2</v>
      </c>
      <c r="G65" s="121" t="s">
        <v>758</v>
      </c>
      <c r="H65" s="272">
        <v>150000</v>
      </c>
      <c r="I65" s="247">
        <f>130*31</f>
        <v>4030</v>
      </c>
      <c r="J65" s="167">
        <f>I65*45%*H65</f>
        <v>272025000</v>
      </c>
      <c r="K65" s="167">
        <f>I65*40%*H65</f>
        <v>241800000</v>
      </c>
      <c r="L65" s="167">
        <f>I65*15%*H65</f>
        <v>90675000</v>
      </c>
      <c r="M65" s="167" t="s">
        <v>512</v>
      </c>
      <c r="N65" s="167" t="s">
        <v>512</v>
      </c>
      <c r="O65" s="86">
        <f t="shared" si="7"/>
        <v>1209000</v>
      </c>
      <c r="P65" s="167">
        <f t="shared" si="6"/>
        <v>604500000</v>
      </c>
      <c r="Q65" s="122" t="s">
        <v>759</v>
      </c>
      <c r="R65" s="122" t="s">
        <v>761</v>
      </c>
      <c r="S65" s="273"/>
      <c r="T65" s="214"/>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row>
    <row r="66" spans="1:53" s="59" customFormat="1" ht="57.75" customHeight="1">
      <c r="A66" s="462"/>
      <c r="B66" s="486"/>
      <c r="C66" s="666"/>
      <c r="D66" s="502"/>
      <c r="E66" s="270" t="s">
        <v>16</v>
      </c>
      <c r="F66" s="271">
        <v>0.2</v>
      </c>
      <c r="G66" s="121" t="s">
        <v>757</v>
      </c>
      <c r="H66" s="272">
        <v>150000</v>
      </c>
      <c r="I66" s="247">
        <f>166</f>
        <v>166</v>
      </c>
      <c r="J66" s="167">
        <f>I66*40%*H66</f>
        <v>9960000</v>
      </c>
      <c r="K66" s="167">
        <f>I66*40%*H66</f>
        <v>9960000</v>
      </c>
      <c r="L66" s="167">
        <f>I66*20%*H66</f>
        <v>4980000</v>
      </c>
      <c r="M66" s="167"/>
      <c r="N66" s="167">
        <v>0</v>
      </c>
      <c r="O66" s="86">
        <f t="shared" si="7"/>
        <v>49800</v>
      </c>
      <c r="P66" s="167">
        <f t="shared" si="6"/>
        <v>24900000</v>
      </c>
      <c r="Q66" s="122" t="s">
        <v>727</v>
      </c>
      <c r="R66" s="122" t="s">
        <v>760</v>
      </c>
      <c r="S66" s="274">
        <f>J20+J23+J26+J30+J35+J39+J46+J48+J55+J58+J66+J116+J117+J122+J132+J138+J144+J160</f>
        <v>1885792563.8</v>
      </c>
      <c r="T66" s="216"/>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row>
    <row r="67" spans="1:53" s="42" customFormat="1" ht="31.5" customHeight="1">
      <c r="A67" s="462"/>
      <c r="B67" s="486"/>
      <c r="C67" s="666"/>
      <c r="D67" s="502"/>
      <c r="E67" s="270"/>
      <c r="F67" s="271"/>
      <c r="G67" s="166" t="s">
        <v>762</v>
      </c>
      <c r="H67" s="163">
        <f>114000000</f>
        <v>114000000</v>
      </c>
      <c r="I67" s="247">
        <v>1</v>
      </c>
      <c r="J67" s="162">
        <v>7500000</v>
      </c>
      <c r="K67" s="162">
        <v>19500000</v>
      </c>
      <c r="L67" s="162">
        <v>27000000</v>
      </c>
      <c r="M67" s="162">
        <v>30000000</v>
      </c>
      <c r="N67" s="162">
        <v>30000000</v>
      </c>
      <c r="O67" s="85">
        <f t="shared" si="7"/>
        <v>228000</v>
      </c>
      <c r="P67" s="162">
        <f t="shared" si="6"/>
        <v>114000000</v>
      </c>
      <c r="Q67" s="115" t="s">
        <v>594</v>
      </c>
      <c r="R67" s="115"/>
      <c r="S67" s="268"/>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s="53" customFormat="1" ht="30" customHeight="1">
      <c r="A68" s="462"/>
      <c r="B68" s="486"/>
      <c r="C68" s="667"/>
      <c r="D68" s="503"/>
      <c r="E68" s="270"/>
      <c r="F68" s="271">
        <v>0</v>
      </c>
      <c r="G68" s="121" t="s">
        <v>822</v>
      </c>
      <c r="H68" s="272">
        <f>100000</f>
        <v>100000</v>
      </c>
      <c r="I68" s="247">
        <f>130*31</f>
        <v>4030</v>
      </c>
      <c r="J68" s="167">
        <f>I68*H68*30%</f>
        <v>120900000</v>
      </c>
      <c r="K68" s="167">
        <f>I68*H68*40%</f>
        <v>161200000</v>
      </c>
      <c r="L68" s="167">
        <f>I68*H68*20%</f>
        <v>80600000</v>
      </c>
      <c r="M68" s="167">
        <f>I68*H68*10%</f>
        <v>40300000</v>
      </c>
      <c r="N68" s="167" t="s">
        <v>512</v>
      </c>
      <c r="O68" s="85">
        <f t="shared" si="7"/>
        <v>806000</v>
      </c>
      <c r="P68" s="162">
        <f t="shared" si="6"/>
        <v>403000000</v>
      </c>
      <c r="Q68" s="122" t="s">
        <v>594</v>
      </c>
      <c r="R68" s="122" t="s">
        <v>720</v>
      </c>
      <c r="S68" s="274">
        <f>P68+P67+P64+P63+P57+P56+P53+P52+P51+P47+P44+P43+P42+P40+P37+P34+P33+P32+P29+P25+P22+P18+P17+P16+P15+P14+P13+P12+P11+P9+P8+P7+P6+P5+P4</f>
        <v>7926328284</v>
      </c>
      <c r="T68" s="214"/>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row>
    <row r="69" spans="1:53" s="79" customFormat="1" ht="42" customHeight="1">
      <c r="A69" s="658"/>
      <c r="B69" s="487"/>
      <c r="C69" s="121" t="s">
        <v>930</v>
      </c>
      <c r="D69" s="166" t="s">
        <v>41</v>
      </c>
      <c r="E69" s="269" t="s">
        <v>16</v>
      </c>
      <c r="F69" s="265">
        <v>1</v>
      </c>
      <c r="G69" s="166" t="s">
        <v>42</v>
      </c>
      <c r="H69" s="162">
        <f>150000*20+7000000</f>
        <v>10000000</v>
      </c>
      <c r="I69" s="247">
        <v>1</v>
      </c>
      <c r="J69" s="162">
        <v>10000000</v>
      </c>
      <c r="K69" s="162" t="s">
        <v>512</v>
      </c>
      <c r="L69" s="162" t="s">
        <v>512</v>
      </c>
      <c r="M69" s="162" t="s">
        <v>512</v>
      </c>
      <c r="N69" s="162" t="s">
        <v>512</v>
      </c>
      <c r="O69" s="85">
        <f t="shared" si="7"/>
        <v>20000</v>
      </c>
      <c r="P69" s="162">
        <f t="shared" si="6"/>
        <v>10000000</v>
      </c>
      <c r="Q69" s="115" t="s">
        <v>614</v>
      </c>
      <c r="R69" s="115" t="s">
        <v>594</v>
      </c>
      <c r="S69" s="253">
        <f>P69+P65</f>
        <v>614500000</v>
      </c>
      <c r="T69" s="28"/>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s="64" customFormat="1" ht="28.5" customHeight="1">
      <c r="A70" s="671" t="s">
        <v>807</v>
      </c>
      <c r="B70" s="672"/>
      <c r="C70" s="672"/>
      <c r="D70" s="672"/>
      <c r="E70" s="672"/>
      <c r="F70" s="672"/>
      <c r="G70" s="672"/>
      <c r="H70" s="672"/>
      <c r="I70" s="673"/>
      <c r="J70" s="168">
        <f>SUM(J4:J69)</f>
        <v>4270412378.2</v>
      </c>
      <c r="K70" s="168">
        <f>SUM(K4:K69)</f>
        <v>4639450378.2</v>
      </c>
      <c r="L70" s="168">
        <f>SUM(L4:L69)</f>
        <v>3329601178.2</v>
      </c>
      <c r="M70" s="168">
        <f>SUM(M4:M69)</f>
        <v>1431003459.4</v>
      </c>
      <c r="N70" s="168">
        <f>SUM(N4:N69)</f>
        <v>635599600</v>
      </c>
      <c r="O70" s="61">
        <f aca="true" t="shared" si="8" ref="O70:O77">P70/500</f>
        <v>28612133.988</v>
      </c>
      <c r="P70" s="168">
        <f>SUM(P4:P69)</f>
        <v>14306066994</v>
      </c>
      <c r="Q70" s="275"/>
      <c r="R70" s="275">
        <f>N70+M70+L70+K70+J70</f>
        <v>14306066994</v>
      </c>
      <c r="S70" s="276">
        <f>S69+S68+S27+S20</f>
        <v>14306066994</v>
      </c>
      <c r="T70" s="28"/>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s="7" customFormat="1" ht="48" customHeight="1">
      <c r="A71" s="605" t="s">
        <v>931</v>
      </c>
      <c r="B71" s="545" t="s">
        <v>932</v>
      </c>
      <c r="C71" s="166" t="s">
        <v>933</v>
      </c>
      <c r="D71" s="166" t="s">
        <v>43</v>
      </c>
      <c r="E71" s="277">
        <v>0.372</v>
      </c>
      <c r="F71" s="278">
        <v>0.8</v>
      </c>
      <c r="G71" s="115" t="s">
        <v>44</v>
      </c>
      <c r="H71" s="163">
        <f>40</f>
        <v>40</v>
      </c>
      <c r="I71" s="247">
        <f>4701292.96291094*80%</f>
        <v>3761034.3703287523</v>
      </c>
      <c r="J71" s="162">
        <f>714096*40*80%</f>
        <v>22851072</v>
      </c>
      <c r="K71" s="162">
        <f>732662*40*80%</f>
        <v>23445184</v>
      </c>
      <c r="L71" s="162">
        <f>751712*40*80%</f>
        <v>24054784</v>
      </c>
      <c r="M71" s="162">
        <f>771256*40*80%</f>
        <v>24680192</v>
      </c>
      <c r="N71" s="162">
        <f>791309*40</f>
        <v>31652360</v>
      </c>
      <c r="O71" s="85">
        <f t="shared" si="8"/>
        <v>253367.184</v>
      </c>
      <c r="P71" s="162">
        <f>J71+K71+L71+M71+N71</f>
        <v>126683592</v>
      </c>
      <c r="Q71" s="115" t="s">
        <v>594</v>
      </c>
      <c r="R71" s="115" t="s">
        <v>599</v>
      </c>
      <c r="S71" s="253">
        <f>+P71+P72+P73+P74+P75+P77+P80+P81+P83+P84+P85+P86+P88+P89+P90+P91+P92+P93+P95+P96+P98+P99+P101</f>
        <v>16714052483.4</v>
      </c>
      <c r="T71" s="100"/>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s="7" customFormat="1" ht="54.75" customHeight="1">
      <c r="A72" s="605"/>
      <c r="B72" s="545"/>
      <c r="C72" s="464" t="s">
        <v>934</v>
      </c>
      <c r="D72" s="166" t="s">
        <v>45</v>
      </c>
      <c r="E72" s="279">
        <v>0.365</v>
      </c>
      <c r="F72" s="278">
        <v>0.8</v>
      </c>
      <c r="G72" s="115" t="s">
        <v>46</v>
      </c>
      <c r="H72" s="163">
        <f>0.11*500</f>
        <v>55</v>
      </c>
      <c r="I72" s="247">
        <f>13879093</f>
        <v>13879093</v>
      </c>
      <c r="J72" s="162">
        <f>2635181*55</f>
        <v>144934955</v>
      </c>
      <c r="K72" s="162">
        <f>2703695*55</f>
        <v>148703225</v>
      </c>
      <c r="L72" s="162">
        <f>2773991*55</f>
        <v>152569505</v>
      </c>
      <c r="M72" s="162">
        <f>2846115*55</f>
        <v>156536325</v>
      </c>
      <c r="N72" s="162">
        <f>2920114*55</f>
        <v>160606270</v>
      </c>
      <c r="O72" s="85">
        <f t="shared" si="8"/>
        <v>1526700.56</v>
      </c>
      <c r="P72" s="162">
        <f>J72+K72+L72+M72+N72</f>
        <v>763350280</v>
      </c>
      <c r="Q72" s="115" t="s">
        <v>594</v>
      </c>
      <c r="R72" s="115" t="s">
        <v>598</v>
      </c>
      <c r="S72" s="253"/>
      <c r="T72" s="28"/>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s="88" customFormat="1" ht="45" customHeight="1">
      <c r="A73" s="605"/>
      <c r="B73" s="545"/>
      <c r="C73" s="464"/>
      <c r="D73" s="166" t="s">
        <v>47</v>
      </c>
      <c r="E73" s="278" t="s">
        <v>16</v>
      </c>
      <c r="F73" s="278">
        <v>0.5</v>
      </c>
      <c r="G73" s="115" t="s">
        <v>877</v>
      </c>
      <c r="H73" s="163">
        <f>0.08*500</f>
        <v>40</v>
      </c>
      <c r="I73" s="247">
        <f>14368774</f>
        <v>14368774</v>
      </c>
      <c r="J73" s="162">
        <f>2728154*40</f>
        <v>109126160</v>
      </c>
      <c r="K73" s="162">
        <f>2799086*40</f>
        <v>111963440</v>
      </c>
      <c r="L73" s="162">
        <f>2871862*40</f>
        <v>114874480</v>
      </c>
      <c r="M73" s="162">
        <f>2946531*40</f>
        <v>117861240</v>
      </c>
      <c r="N73" s="162">
        <f>3023141*40</f>
        <v>120925640</v>
      </c>
      <c r="O73" s="85"/>
      <c r="P73" s="162">
        <f>J73+K73+L73+M73+N73</f>
        <v>574750960</v>
      </c>
      <c r="Q73" s="115" t="s">
        <v>594</v>
      </c>
      <c r="R73" s="115" t="s">
        <v>600</v>
      </c>
      <c r="S73" s="244"/>
      <c r="T73" s="217"/>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row>
    <row r="74" spans="1:53" s="7" customFormat="1" ht="40.5" customHeight="1">
      <c r="A74" s="605"/>
      <c r="B74" s="464" t="s">
        <v>935</v>
      </c>
      <c r="C74" s="464" t="s">
        <v>936</v>
      </c>
      <c r="D74" s="464" t="s">
        <v>48</v>
      </c>
      <c r="E74" s="280">
        <v>0</v>
      </c>
      <c r="F74" s="280">
        <v>1</v>
      </c>
      <c r="G74" s="115" t="s">
        <v>49</v>
      </c>
      <c r="H74" s="162">
        <f>250000*20+5000000</f>
        <v>10000000</v>
      </c>
      <c r="I74" s="240">
        <v>1</v>
      </c>
      <c r="J74" s="162">
        <v>10000000</v>
      </c>
      <c r="K74" s="162"/>
      <c r="L74" s="162"/>
      <c r="M74" s="162" t="s">
        <v>512</v>
      </c>
      <c r="N74" s="162" t="s">
        <v>512</v>
      </c>
      <c r="O74" s="85">
        <f t="shared" si="8"/>
        <v>20000</v>
      </c>
      <c r="P74" s="162">
        <f>H74*I74</f>
        <v>10000000</v>
      </c>
      <c r="Q74" s="115" t="s">
        <v>594</v>
      </c>
      <c r="R74" s="115" t="s">
        <v>595</v>
      </c>
      <c r="S74" s="201"/>
      <c r="T74" s="28"/>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20" s="5" customFormat="1" ht="39" customHeight="1">
      <c r="A75" s="605"/>
      <c r="B75" s="464"/>
      <c r="C75" s="464"/>
      <c r="D75" s="464"/>
      <c r="E75" s="257"/>
      <c r="F75" s="257"/>
      <c r="G75" s="115" t="s">
        <v>596</v>
      </c>
      <c r="H75" s="162">
        <v>5000</v>
      </c>
      <c r="I75" s="247">
        <v>2000</v>
      </c>
      <c r="J75" s="164">
        <f>1000*H75</f>
        <v>5000000</v>
      </c>
      <c r="K75" s="169" t="s">
        <v>512</v>
      </c>
      <c r="L75" s="169" t="s">
        <v>512</v>
      </c>
      <c r="M75" s="164">
        <f>1000*H75</f>
        <v>5000000</v>
      </c>
      <c r="N75" s="169" t="s">
        <v>512</v>
      </c>
      <c r="O75" s="85">
        <f t="shared" si="8"/>
        <v>20000</v>
      </c>
      <c r="P75" s="162">
        <f>H75*I75</f>
        <v>10000000</v>
      </c>
      <c r="Q75" s="115" t="s">
        <v>594</v>
      </c>
      <c r="R75" s="115" t="s">
        <v>595</v>
      </c>
      <c r="S75" s="244"/>
      <c r="T75" s="28"/>
    </row>
    <row r="76" spans="1:53" s="7" customFormat="1" ht="51" customHeight="1">
      <c r="A76" s="605"/>
      <c r="B76" s="464"/>
      <c r="C76" s="121" t="s">
        <v>937</v>
      </c>
      <c r="D76" s="115" t="s">
        <v>50</v>
      </c>
      <c r="E76" s="280" t="s">
        <v>16</v>
      </c>
      <c r="F76" s="278">
        <v>0.5</v>
      </c>
      <c r="G76" s="115" t="s">
        <v>51</v>
      </c>
      <c r="H76" s="162">
        <v>0</v>
      </c>
      <c r="I76" s="247">
        <f>14024315.1504598*5%</f>
        <v>701215.75752299</v>
      </c>
      <c r="J76" s="162" t="s">
        <v>512</v>
      </c>
      <c r="K76" s="162" t="s">
        <v>512</v>
      </c>
      <c r="L76" s="162" t="s">
        <v>512</v>
      </c>
      <c r="M76" s="162" t="s">
        <v>512</v>
      </c>
      <c r="N76" s="162" t="s">
        <v>512</v>
      </c>
      <c r="O76" s="85" t="s">
        <v>28</v>
      </c>
      <c r="P76" s="162" t="s">
        <v>28</v>
      </c>
      <c r="Q76" s="115" t="s">
        <v>594</v>
      </c>
      <c r="R76" s="115" t="s">
        <v>598</v>
      </c>
      <c r="S76" s="244"/>
      <c r="T76" s="28"/>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s="7" customFormat="1" ht="46.5" customHeight="1">
      <c r="A77" s="605"/>
      <c r="B77" s="464"/>
      <c r="C77" s="464" t="s">
        <v>938</v>
      </c>
      <c r="D77" s="166" t="s">
        <v>886</v>
      </c>
      <c r="E77" s="279">
        <v>0.344</v>
      </c>
      <c r="F77" s="278">
        <v>0.8</v>
      </c>
      <c r="G77" s="115" t="s">
        <v>52</v>
      </c>
      <c r="H77" s="162">
        <v>2445</v>
      </c>
      <c r="I77" s="247">
        <f>4701292.96291094*80%</f>
        <v>3761034.3703287523</v>
      </c>
      <c r="J77" s="162">
        <f>714096*H77</f>
        <v>1745964720</v>
      </c>
      <c r="K77" s="162">
        <f>732662*H77</f>
        <v>1791358590</v>
      </c>
      <c r="L77" s="162">
        <f>751712*H77</f>
        <v>1837935840</v>
      </c>
      <c r="M77" s="162">
        <f>771256*H77</f>
        <v>1885720920</v>
      </c>
      <c r="N77" s="162">
        <f>791309*H77</f>
        <v>1934750505</v>
      </c>
      <c r="O77" s="85">
        <f t="shared" si="8"/>
        <v>18391461.15</v>
      </c>
      <c r="P77" s="162">
        <f>J77+K77+L77+M77+N77</f>
        <v>9195730575</v>
      </c>
      <c r="Q77" s="115" t="s">
        <v>594</v>
      </c>
      <c r="R77" s="115" t="s">
        <v>601</v>
      </c>
      <c r="S77" s="244"/>
      <c r="T77" s="28"/>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s="7" customFormat="1" ht="33.75" customHeight="1">
      <c r="A78" s="605"/>
      <c r="B78" s="464"/>
      <c r="C78" s="464"/>
      <c r="D78" s="166" t="s">
        <v>53</v>
      </c>
      <c r="E78" s="279" t="s">
        <v>16</v>
      </c>
      <c r="F78" s="278">
        <v>0.5</v>
      </c>
      <c r="G78" s="464" t="s">
        <v>54</v>
      </c>
      <c r="H78" s="429">
        <f>163.8*500</f>
        <v>81900</v>
      </c>
      <c r="I78" s="646">
        <v>0</v>
      </c>
      <c r="J78" s="429" t="s">
        <v>512</v>
      </c>
      <c r="K78" s="429">
        <v>0</v>
      </c>
      <c r="L78" s="429">
        <v>0</v>
      </c>
      <c r="M78" s="429">
        <v>0</v>
      </c>
      <c r="N78" s="429"/>
      <c r="O78" s="547">
        <f>+$I$78*100%</f>
        <v>0</v>
      </c>
      <c r="P78" s="551">
        <f>H78*I78</f>
        <v>0</v>
      </c>
      <c r="Q78" s="463" t="s">
        <v>594</v>
      </c>
      <c r="R78" s="463" t="s">
        <v>593</v>
      </c>
      <c r="S78" s="550"/>
      <c r="T78" s="28"/>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s="7" customFormat="1" ht="36" customHeight="1">
      <c r="A79" s="605"/>
      <c r="B79" s="464"/>
      <c r="C79" s="464"/>
      <c r="D79" s="166" t="s">
        <v>55</v>
      </c>
      <c r="E79" s="279" t="s">
        <v>16</v>
      </c>
      <c r="F79" s="278">
        <v>0.5</v>
      </c>
      <c r="G79" s="464"/>
      <c r="H79" s="430"/>
      <c r="I79" s="646"/>
      <c r="J79" s="430"/>
      <c r="K79" s="430"/>
      <c r="L79" s="430"/>
      <c r="M79" s="430"/>
      <c r="N79" s="430"/>
      <c r="O79" s="548"/>
      <c r="P79" s="551"/>
      <c r="Q79" s="428"/>
      <c r="R79" s="428"/>
      <c r="S79" s="550"/>
      <c r="T79" s="28"/>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s="7" customFormat="1" ht="54.75" customHeight="1">
      <c r="A80" s="605"/>
      <c r="B80" s="464"/>
      <c r="C80" s="121" t="s">
        <v>939</v>
      </c>
      <c r="D80" s="166" t="s">
        <v>56</v>
      </c>
      <c r="E80" s="278">
        <v>1</v>
      </c>
      <c r="F80" s="278">
        <v>1</v>
      </c>
      <c r="G80" s="115" t="s">
        <v>57</v>
      </c>
      <c r="H80" s="163">
        <f>0.12*500</f>
        <v>60</v>
      </c>
      <c r="I80" s="247">
        <v>19639520.19</v>
      </c>
      <c r="J80" s="162">
        <f>3927904*60</f>
        <v>235674240</v>
      </c>
      <c r="K80" s="162">
        <f>3927904*60</f>
        <v>235674240</v>
      </c>
      <c r="L80" s="162">
        <f>3927904*60</f>
        <v>235674240</v>
      </c>
      <c r="M80" s="162">
        <f>3927904*60</f>
        <v>235674240</v>
      </c>
      <c r="N80" s="162">
        <f>3927904*60</f>
        <v>235674240</v>
      </c>
      <c r="O80" s="85">
        <f aca="true" t="shared" si="9" ref="O80:O93">P80/500</f>
        <v>2356742.4228000003</v>
      </c>
      <c r="P80" s="162">
        <f>H80*I80</f>
        <v>1178371211.4</v>
      </c>
      <c r="Q80" s="115" t="s">
        <v>594</v>
      </c>
      <c r="R80" s="115" t="s">
        <v>598</v>
      </c>
      <c r="S80" s="244"/>
      <c r="T80" s="28"/>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s="7" customFormat="1" ht="49.5" customHeight="1">
      <c r="A81" s="605"/>
      <c r="B81" s="464"/>
      <c r="C81" s="121" t="s">
        <v>940</v>
      </c>
      <c r="D81" s="166" t="s">
        <v>58</v>
      </c>
      <c r="E81" s="278" t="s">
        <v>16</v>
      </c>
      <c r="F81" s="278">
        <v>0.5</v>
      </c>
      <c r="G81" s="115" t="s">
        <v>59</v>
      </c>
      <c r="H81" s="163">
        <f>2.73*500</f>
        <v>1365</v>
      </c>
      <c r="I81" s="247">
        <v>641769</v>
      </c>
      <c r="J81" s="162">
        <f>121822*H81</f>
        <v>166287030</v>
      </c>
      <c r="K81" s="162">
        <f>125048*H81</f>
        <v>170690520</v>
      </c>
      <c r="L81" s="162">
        <f>128269*H81</f>
        <v>175087185</v>
      </c>
      <c r="M81" s="162">
        <f>131604*H81</f>
        <v>179639460</v>
      </c>
      <c r="N81" s="162">
        <f>135026*H81</f>
        <v>184310490</v>
      </c>
      <c r="O81" s="85">
        <f t="shared" si="9"/>
        <v>1752029.37</v>
      </c>
      <c r="P81" s="162">
        <f>J81+K81+L81+M81+N81</f>
        <v>876014685</v>
      </c>
      <c r="Q81" s="115" t="s">
        <v>594</v>
      </c>
      <c r="R81" s="115" t="s">
        <v>597</v>
      </c>
      <c r="S81" s="244"/>
      <c r="T81" s="28"/>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s="7" customFormat="1" ht="94.5" customHeight="1">
      <c r="A82" s="605"/>
      <c r="B82" s="464"/>
      <c r="C82" s="166" t="s">
        <v>941</v>
      </c>
      <c r="D82" s="166" t="s">
        <v>60</v>
      </c>
      <c r="E82" s="269">
        <v>0</v>
      </c>
      <c r="F82" s="257">
        <v>20</v>
      </c>
      <c r="G82" s="166" t="s">
        <v>521</v>
      </c>
      <c r="H82" s="163" t="s">
        <v>28</v>
      </c>
      <c r="I82" s="247">
        <f>20*5</f>
        <v>100</v>
      </c>
      <c r="J82" s="162" t="s">
        <v>512</v>
      </c>
      <c r="K82" s="162"/>
      <c r="L82" s="162" t="s">
        <v>512</v>
      </c>
      <c r="M82" s="162" t="str">
        <f>L82</f>
        <v>-</v>
      </c>
      <c r="N82" s="162" t="str">
        <f>M82</f>
        <v>-</v>
      </c>
      <c r="O82" s="85" t="s">
        <v>512</v>
      </c>
      <c r="P82" s="162" t="s">
        <v>512</v>
      </c>
      <c r="Q82" s="115" t="s">
        <v>594</v>
      </c>
      <c r="R82" s="115" t="s">
        <v>603</v>
      </c>
      <c r="S82" s="244"/>
      <c r="T82" s="28"/>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s="7" customFormat="1" ht="63">
      <c r="A83" s="605"/>
      <c r="B83" s="464"/>
      <c r="C83" s="528" t="s">
        <v>942</v>
      </c>
      <c r="D83" s="463" t="s">
        <v>61</v>
      </c>
      <c r="E83" s="478">
        <v>0</v>
      </c>
      <c r="F83" s="478">
        <v>10</v>
      </c>
      <c r="G83" s="166" t="s">
        <v>522</v>
      </c>
      <c r="H83" s="163">
        <v>7000000</v>
      </c>
      <c r="I83" s="247">
        <v>1</v>
      </c>
      <c r="J83" s="162">
        <v>7000000</v>
      </c>
      <c r="K83" s="162" t="s">
        <v>602</v>
      </c>
      <c r="L83" s="162" t="s">
        <v>512</v>
      </c>
      <c r="M83" s="162" t="s">
        <v>512</v>
      </c>
      <c r="N83" s="162" t="s">
        <v>512</v>
      </c>
      <c r="O83" s="85"/>
      <c r="P83" s="162">
        <f>H83*I83</f>
        <v>7000000</v>
      </c>
      <c r="Q83" s="115" t="s">
        <v>594</v>
      </c>
      <c r="R83" s="115" t="s">
        <v>604</v>
      </c>
      <c r="S83" s="201"/>
      <c r="T83" s="28"/>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s="7" customFormat="1" ht="51.75" customHeight="1">
      <c r="A84" s="605"/>
      <c r="B84" s="464"/>
      <c r="C84" s="553"/>
      <c r="D84" s="427"/>
      <c r="E84" s="479"/>
      <c r="F84" s="479"/>
      <c r="G84" s="166" t="s">
        <v>806</v>
      </c>
      <c r="H84" s="163">
        <v>2000000</v>
      </c>
      <c r="I84" s="247">
        <f>5*2</f>
        <v>10</v>
      </c>
      <c r="J84" s="162" t="s">
        <v>512</v>
      </c>
      <c r="K84" s="162">
        <v>8000000</v>
      </c>
      <c r="L84" s="162">
        <v>4000000</v>
      </c>
      <c r="M84" s="162">
        <v>4000000</v>
      </c>
      <c r="N84" s="162">
        <v>4000000</v>
      </c>
      <c r="O84" s="85">
        <f t="shared" si="9"/>
        <v>40000</v>
      </c>
      <c r="P84" s="162">
        <f>H84*I84</f>
        <v>20000000</v>
      </c>
      <c r="Q84" s="115" t="s">
        <v>594</v>
      </c>
      <c r="R84" s="115" t="s">
        <v>605</v>
      </c>
      <c r="S84" s="201"/>
      <c r="T84" s="28"/>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s="7" customFormat="1" ht="61.5" customHeight="1">
      <c r="A85" s="605"/>
      <c r="B85" s="545" t="s">
        <v>943</v>
      </c>
      <c r="C85" s="545" t="s">
        <v>944</v>
      </c>
      <c r="D85" s="464" t="s">
        <v>62</v>
      </c>
      <c r="E85" s="546">
        <v>0</v>
      </c>
      <c r="F85" s="546">
        <v>1</v>
      </c>
      <c r="G85" s="166" t="s">
        <v>63</v>
      </c>
      <c r="H85" s="162">
        <f>250000*20+5000000</f>
        <v>10000000</v>
      </c>
      <c r="I85" s="240">
        <v>1</v>
      </c>
      <c r="J85" s="162">
        <v>10000000</v>
      </c>
      <c r="K85" s="162"/>
      <c r="L85" s="162" t="s">
        <v>512</v>
      </c>
      <c r="M85" s="162" t="s">
        <v>512</v>
      </c>
      <c r="N85" s="162" t="s">
        <v>512</v>
      </c>
      <c r="O85" s="85">
        <f t="shared" si="9"/>
        <v>20000</v>
      </c>
      <c r="P85" s="162">
        <f>H85*I85</f>
        <v>10000000</v>
      </c>
      <c r="Q85" s="115" t="s">
        <v>594</v>
      </c>
      <c r="R85" s="115" t="s">
        <v>610</v>
      </c>
      <c r="S85" s="201"/>
      <c r="T85" s="28"/>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20" s="5" customFormat="1" ht="78.75">
      <c r="A86" s="605"/>
      <c r="B86" s="545"/>
      <c r="C86" s="545"/>
      <c r="D86" s="464"/>
      <c r="E86" s="546"/>
      <c r="F86" s="546"/>
      <c r="G86" s="115" t="s">
        <v>523</v>
      </c>
      <c r="H86" s="162">
        <v>5000</v>
      </c>
      <c r="I86" s="247">
        <v>500</v>
      </c>
      <c r="J86" s="162" t="s">
        <v>512</v>
      </c>
      <c r="K86" s="162">
        <f>I86*H86</f>
        <v>2500000</v>
      </c>
      <c r="L86" s="162" t="s">
        <v>512</v>
      </c>
      <c r="M86" s="162" t="s">
        <v>512</v>
      </c>
      <c r="N86" s="162"/>
      <c r="O86" s="85">
        <f t="shared" si="9"/>
        <v>5000</v>
      </c>
      <c r="P86" s="162">
        <f>H86*I86</f>
        <v>2500000</v>
      </c>
      <c r="Q86" s="115" t="s">
        <v>594</v>
      </c>
      <c r="R86" s="115" t="s">
        <v>607</v>
      </c>
      <c r="S86" s="244"/>
      <c r="T86" s="28"/>
    </row>
    <row r="87" spans="1:21" s="5" customFormat="1" ht="63">
      <c r="A87" s="605"/>
      <c r="B87" s="545"/>
      <c r="C87" s="545"/>
      <c r="D87" s="464" t="s">
        <v>64</v>
      </c>
      <c r="E87" s="280" t="s">
        <v>16</v>
      </c>
      <c r="F87" s="280" t="s">
        <v>16</v>
      </c>
      <c r="G87" s="166" t="s">
        <v>492</v>
      </c>
      <c r="H87" s="163">
        <f>0</f>
        <v>0</v>
      </c>
      <c r="I87" s="247">
        <f>125696316.765345/6</f>
        <v>20949386.1275575</v>
      </c>
      <c r="J87" s="162" t="s">
        <v>512</v>
      </c>
      <c r="K87" s="162">
        <v>0</v>
      </c>
      <c r="L87" s="162">
        <v>0</v>
      </c>
      <c r="M87" s="162"/>
      <c r="N87" s="162"/>
      <c r="O87" s="85" t="s">
        <v>28</v>
      </c>
      <c r="P87" s="162" t="s">
        <v>28</v>
      </c>
      <c r="Q87" s="115" t="s">
        <v>594</v>
      </c>
      <c r="R87" s="115" t="s">
        <v>608</v>
      </c>
      <c r="S87" s="244"/>
      <c r="T87" s="219"/>
      <c r="U87" s="6"/>
    </row>
    <row r="88" spans="1:53" s="42" customFormat="1" ht="52.5" customHeight="1">
      <c r="A88" s="605"/>
      <c r="B88" s="545"/>
      <c r="C88" s="545"/>
      <c r="D88" s="464"/>
      <c r="E88" s="163"/>
      <c r="F88" s="280"/>
      <c r="G88" s="166" t="s">
        <v>65</v>
      </c>
      <c r="H88" s="163">
        <v>1888033</v>
      </c>
      <c r="I88" s="247">
        <f>50*2</f>
        <v>100</v>
      </c>
      <c r="J88" s="162">
        <f>25*H88</f>
        <v>47200825</v>
      </c>
      <c r="K88" s="162">
        <f>50*H88</f>
        <v>94401650</v>
      </c>
      <c r="L88" s="162">
        <f>25*H88</f>
        <v>47200825</v>
      </c>
      <c r="M88" s="162">
        <v>0</v>
      </c>
      <c r="N88" s="162">
        <v>0</v>
      </c>
      <c r="O88" s="85">
        <f t="shared" si="9"/>
        <v>377606.6</v>
      </c>
      <c r="P88" s="162">
        <f aca="true" t="shared" si="10" ref="P88:P93">H88*I88</f>
        <v>188803300</v>
      </c>
      <c r="Q88" s="181" t="s">
        <v>594</v>
      </c>
      <c r="R88" s="115" t="s">
        <v>606</v>
      </c>
      <c r="S88" s="244"/>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s="42" customFormat="1" ht="61.5" customHeight="1">
      <c r="A89" s="605"/>
      <c r="B89" s="545"/>
      <c r="C89" s="545"/>
      <c r="D89" s="464"/>
      <c r="E89" s="163"/>
      <c r="F89" s="280"/>
      <c r="G89" s="166" t="s">
        <v>493</v>
      </c>
      <c r="H89" s="163">
        <v>6144611</v>
      </c>
      <c r="I89" s="247">
        <f>50*2</f>
        <v>100</v>
      </c>
      <c r="J89" s="162">
        <f>25*H89</f>
        <v>153615275</v>
      </c>
      <c r="K89" s="162">
        <f>50*H89</f>
        <v>307230550</v>
      </c>
      <c r="L89" s="162">
        <f>25*H89</f>
        <v>153615275</v>
      </c>
      <c r="M89" s="162"/>
      <c r="N89" s="162">
        <v>0</v>
      </c>
      <c r="O89" s="85">
        <f t="shared" si="9"/>
        <v>1228922.2</v>
      </c>
      <c r="P89" s="162">
        <f t="shared" si="10"/>
        <v>614461100</v>
      </c>
      <c r="Q89" s="181" t="s">
        <v>594</v>
      </c>
      <c r="R89" s="115" t="s">
        <v>606</v>
      </c>
      <c r="S89" s="244"/>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s="7" customFormat="1" ht="63">
      <c r="A90" s="605"/>
      <c r="B90" s="545"/>
      <c r="C90" s="501" t="s">
        <v>945</v>
      </c>
      <c r="D90" s="115" t="s">
        <v>66</v>
      </c>
      <c r="E90" s="278" t="s">
        <v>16</v>
      </c>
      <c r="F90" s="278">
        <v>0.3</v>
      </c>
      <c r="G90" s="115" t="s">
        <v>805</v>
      </c>
      <c r="H90" s="163">
        <f>1.8*500</f>
        <v>900</v>
      </c>
      <c r="I90" s="247">
        <v>1568689</v>
      </c>
      <c r="J90" s="162">
        <f>1254951*25%*H90</f>
        <v>282363975</v>
      </c>
      <c r="K90" s="162">
        <f>1254951*25%*H90</f>
        <v>282363975</v>
      </c>
      <c r="L90" s="162">
        <f>1254951*25%*H90</f>
        <v>282363975</v>
      </c>
      <c r="M90" s="162">
        <f>1254951*25%*H90</f>
        <v>282363975</v>
      </c>
      <c r="N90" s="162">
        <f>1254951*25%*H90</f>
        <v>282363975</v>
      </c>
      <c r="O90" s="85">
        <f t="shared" si="9"/>
        <v>2823640.2</v>
      </c>
      <c r="P90" s="162">
        <f t="shared" si="10"/>
        <v>1411820100</v>
      </c>
      <c r="Q90" s="181" t="s">
        <v>594</v>
      </c>
      <c r="R90" s="115" t="s">
        <v>609</v>
      </c>
      <c r="S90" s="244"/>
      <c r="T90" s="28"/>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s="56" customFormat="1" ht="36.75" customHeight="1">
      <c r="A91" s="605"/>
      <c r="B91" s="545"/>
      <c r="C91" s="503"/>
      <c r="D91" s="166"/>
      <c r="E91" s="278"/>
      <c r="F91" s="278"/>
      <c r="G91" s="115" t="s">
        <v>770</v>
      </c>
      <c r="H91" s="163">
        <v>15000000</v>
      </c>
      <c r="I91" s="240">
        <v>10</v>
      </c>
      <c r="J91" s="163">
        <f>2*H91</f>
        <v>30000000</v>
      </c>
      <c r="K91" s="163">
        <f>H91*2</f>
        <v>30000000</v>
      </c>
      <c r="L91" s="163">
        <f>H91*2</f>
        <v>30000000</v>
      </c>
      <c r="M91" s="163">
        <f>H91*2</f>
        <v>30000000</v>
      </c>
      <c r="N91" s="163">
        <f>2*H91</f>
        <v>30000000</v>
      </c>
      <c r="O91" s="85"/>
      <c r="P91" s="162">
        <f t="shared" si="10"/>
        <v>150000000</v>
      </c>
      <c r="Q91" s="115" t="s">
        <v>594</v>
      </c>
      <c r="R91" s="115" t="s">
        <v>614</v>
      </c>
      <c r="S91" s="244"/>
      <c r="T91" s="220"/>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row>
    <row r="92" spans="1:53" s="7" customFormat="1" ht="78.75" customHeight="1">
      <c r="A92" s="605"/>
      <c r="B92" s="545"/>
      <c r="C92" s="464" t="s">
        <v>946</v>
      </c>
      <c r="D92" s="464" t="s">
        <v>887</v>
      </c>
      <c r="E92" s="546">
        <v>0</v>
      </c>
      <c r="F92" s="546">
        <v>1</v>
      </c>
      <c r="G92" s="166" t="s">
        <v>67</v>
      </c>
      <c r="H92" s="162">
        <f>250000*20+5000000</f>
        <v>10000000</v>
      </c>
      <c r="I92" s="240">
        <v>1</v>
      </c>
      <c r="J92" s="162" t="s">
        <v>512</v>
      </c>
      <c r="K92" s="162">
        <v>10000000</v>
      </c>
      <c r="L92" s="162" t="s">
        <v>512</v>
      </c>
      <c r="M92" s="162" t="s">
        <v>512</v>
      </c>
      <c r="N92" s="162" t="s">
        <v>512</v>
      </c>
      <c r="O92" s="85">
        <f t="shared" si="9"/>
        <v>20000</v>
      </c>
      <c r="P92" s="162">
        <f t="shared" si="10"/>
        <v>10000000</v>
      </c>
      <c r="Q92" s="181" t="s">
        <v>594</v>
      </c>
      <c r="R92" s="115" t="s">
        <v>612</v>
      </c>
      <c r="S92" s="244"/>
      <c r="T92" s="28"/>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row r="93" spans="1:20" s="5" customFormat="1" ht="84" customHeight="1">
      <c r="A93" s="605"/>
      <c r="B93" s="545"/>
      <c r="C93" s="464"/>
      <c r="D93" s="464"/>
      <c r="E93" s="546"/>
      <c r="F93" s="546"/>
      <c r="G93" s="115" t="s">
        <v>520</v>
      </c>
      <c r="H93" s="162">
        <v>5000</v>
      </c>
      <c r="I93" s="247">
        <v>500</v>
      </c>
      <c r="J93" s="163" t="s">
        <v>512</v>
      </c>
      <c r="K93" s="281">
        <f>500*H93</f>
        <v>2500000</v>
      </c>
      <c r="L93" s="170" t="s">
        <v>512</v>
      </c>
      <c r="M93" s="170" t="s">
        <v>512</v>
      </c>
      <c r="N93" s="170" t="s">
        <v>512</v>
      </c>
      <c r="O93" s="85">
        <f t="shared" si="9"/>
        <v>5000</v>
      </c>
      <c r="P93" s="162">
        <f t="shared" si="10"/>
        <v>2500000</v>
      </c>
      <c r="Q93" s="181" t="s">
        <v>594</v>
      </c>
      <c r="R93" s="115" t="s">
        <v>611</v>
      </c>
      <c r="S93" s="244"/>
      <c r="T93" s="28"/>
    </row>
    <row r="94" spans="1:20" s="5" customFormat="1" ht="39.75" customHeight="1">
      <c r="A94" s="605"/>
      <c r="B94" s="545" t="s">
        <v>947</v>
      </c>
      <c r="C94" s="464" t="s">
        <v>948</v>
      </c>
      <c r="D94" s="166" t="s">
        <v>616</v>
      </c>
      <c r="E94" s="280" t="s">
        <v>16</v>
      </c>
      <c r="F94" s="278">
        <v>1</v>
      </c>
      <c r="G94" s="115" t="s">
        <v>619</v>
      </c>
      <c r="H94" s="163">
        <f>0</f>
        <v>0</v>
      </c>
      <c r="I94" s="247">
        <f>60*5</f>
        <v>300</v>
      </c>
      <c r="J94" s="163" t="s">
        <v>512</v>
      </c>
      <c r="K94" s="163" t="s">
        <v>512</v>
      </c>
      <c r="L94" s="163" t="s">
        <v>512</v>
      </c>
      <c r="M94" s="163" t="s">
        <v>512</v>
      </c>
      <c r="N94" s="163" t="s">
        <v>512</v>
      </c>
      <c r="O94" s="85" t="s">
        <v>28</v>
      </c>
      <c r="P94" s="162" t="s">
        <v>28</v>
      </c>
      <c r="Q94" s="181" t="s">
        <v>594</v>
      </c>
      <c r="R94" s="115" t="s">
        <v>613</v>
      </c>
      <c r="S94" s="244"/>
      <c r="T94" s="28"/>
    </row>
    <row r="95" spans="1:20" s="5" customFormat="1" ht="94.5">
      <c r="A95" s="605"/>
      <c r="B95" s="545"/>
      <c r="C95" s="464"/>
      <c r="D95" s="166" t="s">
        <v>617</v>
      </c>
      <c r="E95" s="280" t="s">
        <v>16</v>
      </c>
      <c r="F95" s="278">
        <v>1</v>
      </c>
      <c r="G95" s="115" t="s">
        <v>615</v>
      </c>
      <c r="H95" s="162">
        <v>7000000</v>
      </c>
      <c r="I95" s="247">
        <v>2</v>
      </c>
      <c r="J95" s="163"/>
      <c r="K95" s="163">
        <v>7000000</v>
      </c>
      <c r="L95" s="163">
        <v>7000000</v>
      </c>
      <c r="M95" s="163" t="s">
        <v>512</v>
      </c>
      <c r="N95" s="163" t="s">
        <v>512</v>
      </c>
      <c r="O95" s="85">
        <f>P95/500</f>
        <v>28000</v>
      </c>
      <c r="P95" s="162">
        <f>H95*I95</f>
        <v>14000000</v>
      </c>
      <c r="Q95" s="181" t="s">
        <v>594</v>
      </c>
      <c r="R95" s="181" t="s">
        <v>614</v>
      </c>
      <c r="S95" s="201"/>
      <c r="T95" s="28"/>
    </row>
    <row r="96" spans="1:20" s="5" customFormat="1" ht="94.5">
      <c r="A96" s="605"/>
      <c r="B96" s="545"/>
      <c r="C96" s="464"/>
      <c r="D96" s="166" t="s">
        <v>618</v>
      </c>
      <c r="E96" s="280" t="s">
        <v>16</v>
      </c>
      <c r="F96" s="278">
        <v>1</v>
      </c>
      <c r="G96" s="115" t="s">
        <v>888</v>
      </c>
      <c r="H96" s="162">
        <v>337150</v>
      </c>
      <c r="I96" s="247">
        <v>60</v>
      </c>
      <c r="J96" s="163"/>
      <c r="K96" s="163">
        <f>H96*30</f>
        <v>10114500</v>
      </c>
      <c r="L96" s="163">
        <f>H96*30</f>
        <v>10114500</v>
      </c>
      <c r="M96" s="163"/>
      <c r="N96" s="163" t="s">
        <v>512</v>
      </c>
      <c r="O96" s="85">
        <f>P96/500</f>
        <v>40458</v>
      </c>
      <c r="P96" s="162">
        <f>H96*I96</f>
        <v>20229000</v>
      </c>
      <c r="Q96" s="181" t="s">
        <v>594</v>
      </c>
      <c r="R96" s="115" t="s">
        <v>614</v>
      </c>
      <c r="S96" s="244"/>
      <c r="T96" s="28"/>
    </row>
    <row r="97" spans="1:53" s="80" customFormat="1" ht="60.75" customHeight="1">
      <c r="A97" s="605"/>
      <c r="B97" s="545"/>
      <c r="C97" s="121" t="s">
        <v>949</v>
      </c>
      <c r="D97" s="166" t="s">
        <v>68</v>
      </c>
      <c r="E97" s="278" t="s">
        <v>16</v>
      </c>
      <c r="F97" s="278">
        <v>1</v>
      </c>
      <c r="G97" s="115" t="s">
        <v>69</v>
      </c>
      <c r="H97" s="163">
        <f>0</f>
        <v>0</v>
      </c>
      <c r="I97" s="240">
        <f>7326875.17454493/2</f>
        <v>3663437.587272465</v>
      </c>
      <c r="J97" s="163">
        <v>0</v>
      </c>
      <c r="K97" s="163">
        <f>0</f>
        <v>0</v>
      </c>
      <c r="L97" s="163">
        <v>0</v>
      </c>
      <c r="M97" s="282">
        <v>0</v>
      </c>
      <c r="N97" s="163">
        <v>0</v>
      </c>
      <c r="O97" s="85" t="s">
        <v>28</v>
      </c>
      <c r="P97" s="162" t="s">
        <v>28</v>
      </c>
      <c r="Q97" s="181" t="s">
        <v>614</v>
      </c>
      <c r="R97" s="115" t="s">
        <v>620</v>
      </c>
      <c r="S97" s="244"/>
      <c r="T97" s="221"/>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row>
    <row r="98" spans="1:20" s="5" customFormat="1" ht="34.5" customHeight="1">
      <c r="A98" s="605"/>
      <c r="B98" s="545"/>
      <c r="C98" s="441" t="s">
        <v>950</v>
      </c>
      <c r="D98" s="166"/>
      <c r="E98" s="278"/>
      <c r="F98" s="278"/>
      <c r="G98" s="115" t="s">
        <v>769</v>
      </c>
      <c r="H98" s="163">
        <v>7000000</v>
      </c>
      <c r="I98" s="240">
        <v>7</v>
      </c>
      <c r="J98" s="163" t="s">
        <v>512</v>
      </c>
      <c r="K98" s="163">
        <f>4*H98</f>
        <v>28000000</v>
      </c>
      <c r="L98" s="163">
        <f>3*H98</f>
        <v>21000000</v>
      </c>
      <c r="M98" s="282"/>
      <c r="N98" s="163"/>
      <c r="O98" s="85"/>
      <c r="P98" s="162">
        <f>I98*H98</f>
        <v>49000000</v>
      </c>
      <c r="Q98" s="181"/>
      <c r="R98" s="115"/>
      <c r="S98" s="244"/>
      <c r="T98" s="221"/>
    </row>
    <row r="99" spans="1:20" s="5" customFormat="1" ht="39" customHeight="1">
      <c r="A99" s="605"/>
      <c r="B99" s="545"/>
      <c r="C99" s="448"/>
      <c r="D99" s="166"/>
      <c r="E99" s="278"/>
      <c r="F99" s="278"/>
      <c r="G99" s="115" t="s">
        <v>860</v>
      </c>
      <c r="H99" s="163">
        <v>360</v>
      </c>
      <c r="I99" s="240">
        <v>3663438</v>
      </c>
      <c r="J99" s="163"/>
      <c r="K99" s="163">
        <f>I99*H99*15%</f>
        <v>197825652</v>
      </c>
      <c r="L99" s="163">
        <f>H99*I99*30%</f>
        <v>395651304</v>
      </c>
      <c r="M99" s="283">
        <f>I99*H99*40%</f>
        <v>527535072</v>
      </c>
      <c r="N99" s="163">
        <f>I99*H99*15%</f>
        <v>197825652</v>
      </c>
      <c r="O99" s="85"/>
      <c r="P99" s="162">
        <f>I99*H99</f>
        <v>1318837680</v>
      </c>
      <c r="Q99" s="181" t="s">
        <v>594</v>
      </c>
      <c r="R99" s="115"/>
      <c r="S99" s="244"/>
      <c r="T99" s="221"/>
    </row>
    <row r="100" spans="1:53" s="80" customFormat="1" ht="64.5" customHeight="1">
      <c r="A100" s="605"/>
      <c r="B100" s="545"/>
      <c r="C100" s="448"/>
      <c r="D100" s="166" t="s">
        <v>72</v>
      </c>
      <c r="E100" s="278" t="s">
        <v>16</v>
      </c>
      <c r="F100" s="278">
        <v>0.25</v>
      </c>
      <c r="G100" s="115" t="s">
        <v>73</v>
      </c>
      <c r="H100" s="163">
        <f>1.8*300</f>
        <v>540</v>
      </c>
      <c r="I100" s="240">
        <f>7326875.17454493/2</f>
        <v>3663437.587272465</v>
      </c>
      <c r="J100" s="163"/>
      <c r="K100" s="163">
        <f>I100*H100*30%</f>
        <v>593476889.1381394</v>
      </c>
      <c r="L100" s="163">
        <f>I100*H100*30%</f>
        <v>593476889.1381394</v>
      </c>
      <c r="M100" s="163">
        <f>I100*H100*20%</f>
        <v>395651259.42542624</v>
      </c>
      <c r="N100" s="163">
        <f>I100*H100*20%</f>
        <v>395651259.42542624</v>
      </c>
      <c r="O100" s="85">
        <f>P100/500</f>
        <v>3956512.5942542623</v>
      </c>
      <c r="P100" s="162">
        <f>H100*I100</f>
        <v>1978256297.1271312</v>
      </c>
      <c r="Q100" s="115" t="s">
        <v>614</v>
      </c>
      <c r="R100" s="115" t="s">
        <v>772</v>
      </c>
      <c r="S100" s="253">
        <f>P100</f>
        <v>1978256297.1271312</v>
      </c>
      <c r="T100" s="221"/>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row>
    <row r="101" spans="1:53" s="56" customFormat="1" ht="39.75" customHeight="1">
      <c r="A101" s="605"/>
      <c r="B101" s="545"/>
      <c r="C101" s="442"/>
      <c r="D101" s="166"/>
      <c r="E101" s="278"/>
      <c r="F101" s="278"/>
      <c r="G101" s="115" t="s">
        <v>858</v>
      </c>
      <c r="H101" s="163">
        <v>20000000</v>
      </c>
      <c r="I101" s="240">
        <v>8</v>
      </c>
      <c r="J101" s="163"/>
      <c r="K101" s="163">
        <f>H101*2</f>
        <v>40000000</v>
      </c>
      <c r="L101" s="163">
        <f>H101*2</f>
        <v>40000000</v>
      </c>
      <c r="M101" s="163">
        <f>H101*2</f>
        <v>40000000</v>
      </c>
      <c r="N101" s="163">
        <f>2*H101</f>
        <v>40000000</v>
      </c>
      <c r="O101" s="85"/>
      <c r="P101" s="162">
        <f>H101*I101</f>
        <v>160000000</v>
      </c>
      <c r="Q101" s="115" t="s">
        <v>594</v>
      </c>
      <c r="R101" s="115" t="s">
        <v>614</v>
      </c>
      <c r="S101" s="253">
        <f>P101+P99+P98+P96+P95+P93+P92+P91+P90+P89+P88+P86+P85+P84+P83+P81+P80+P77+P75+P74+P73+P72+P71</f>
        <v>16714052483.4</v>
      </c>
      <c r="T101" s="220"/>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row>
    <row r="102" spans="1:53" s="80" customFormat="1" ht="78.75">
      <c r="A102" s="605"/>
      <c r="B102" s="545"/>
      <c r="C102" s="259" t="s">
        <v>951</v>
      </c>
      <c r="D102" s="166" t="s">
        <v>74</v>
      </c>
      <c r="E102" s="278" t="s">
        <v>16</v>
      </c>
      <c r="F102" s="278">
        <v>1</v>
      </c>
      <c r="G102" s="166" t="s">
        <v>952</v>
      </c>
      <c r="H102" s="163" t="s">
        <v>28</v>
      </c>
      <c r="I102" s="284">
        <v>5</v>
      </c>
      <c r="J102" s="163">
        <v>0</v>
      </c>
      <c r="K102" s="163"/>
      <c r="L102" s="163">
        <v>0</v>
      </c>
      <c r="M102" s="163" t="s">
        <v>512</v>
      </c>
      <c r="N102" s="163" t="s">
        <v>512</v>
      </c>
      <c r="O102" s="85" t="s">
        <v>28</v>
      </c>
      <c r="P102" s="163" t="s">
        <v>28</v>
      </c>
      <c r="Q102" s="120" t="s">
        <v>771</v>
      </c>
      <c r="R102" s="181" t="s">
        <v>621</v>
      </c>
      <c r="S102" s="244"/>
      <c r="T102" s="28"/>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row>
    <row r="103" spans="1:53" s="63" customFormat="1" ht="18.75">
      <c r="A103" s="453" t="s">
        <v>869</v>
      </c>
      <c r="B103" s="454"/>
      <c r="C103" s="454"/>
      <c r="D103" s="454"/>
      <c r="E103" s="454"/>
      <c r="F103" s="454"/>
      <c r="G103" s="455"/>
      <c r="H103" s="171"/>
      <c r="I103" s="285"/>
      <c r="J103" s="171">
        <f>SUM(J71:J102)</f>
        <v>2970018252</v>
      </c>
      <c r="K103" s="171">
        <f>SUM(K71:K102)</f>
        <v>4095248415.1381392</v>
      </c>
      <c r="L103" s="171">
        <f>SUM(L71:L102)</f>
        <v>4124618802.1381392</v>
      </c>
      <c r="M103" s="171">
        <f>SUM(M71:M102)</f>
        <v>3884662683.4254265</v>
      </c>
      <c r="N103" s="171">
        <f>SUM(N71:N102)</f>
        <v>3617760391.4254265</v>
      </c>
      <c r="O103" s="62"/>
      <c r="P103" s="171">
        <f>SUM(P71:P102)</f>
        <v>18692308780.52713</v>
      </c>
      <c r="Q103" s="62"/>
      <c r="R103" s="286"/>
      <c r="S103" s="276">
        <f>S101+S100</f>
        <v>18692308780.52713</v>
      </c>
      <c r="T103" s="28"/>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row>
    <row r="104" spans="1:53" s="8" customFormat="1" ht="24" customHeight="1">
      <c r="A104" s="654" t="s">
        <v>76</v>
      </c>
      <c r="B104" s="655"/>
      <c r="C104" s="655"/>
      <c r="D104" s="655"/>
      <c r="E104" s="655"/>
      <c r="F104" s="655"/>
      <c r="G104" s="655"/>
      <c r="H104" s="172"/>
      <c r="I104" s="172"/>
      <c r="J104" s="172">
        <f>J103+J70</f>
        <v>7240430630.2</v>
      </c>
      <c r="K104" s="172">
        <f>K103+K70</f>
        <v>8734698793.338139</v>
      </c>
      <c r="L104" s="172">
        <f>L103+L70</f>
        <v>7454219980.338139</v>
      </c>
      <c r="M104" s="172">
        <f>M103+M70</f>
        <v>5315666142.825426</v>
      </c>
      <c r="N104" s="172">
        <f>N103+N70</f>
        <v>4253359991.4254265</v>
      </c>
      <c r="O104" s="287" t="s">
        <v>876</v>
      </c>
      <c r="P104" s="172">
        <f>P103+P70</f>
        <v>32998375774.52713</v>
      </c>
      <c r="Q104" s="288">
        <f>N104+M104+L104+K104+J104</f>
        <v>32998375538.127132</v>
      </c>
      <c r="R104" s="288"/>
      <c r="S104" s="289"/>
      <c r="T104" s="2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row>
    <row r="105" spans="1:20" s="9" customFormat="1" ht="24" customHeight="1">
      <c r="A105" s="523" t="s">
        <v>77</v>
      </c>
      <c r="B105" s="524"/>
      <c r="C105" s="524"/>
      <c r="D105" s="524"/>
      <c r="E105" s="524"/>
      <c r="F105" s="524"/>
      <c r="G105" s="524"/>
      <c r="H105" s="524"/>
      <c r="I105" s="524"/>
      <c r="J105" s="524"/>
      <c r="K105" s="524"/>
      <c r="L105" s="524"/>
      <c r="M105" s="524"/>
      <c r="N105" s="524"/>
      <c r="O105" s="524"/>
      <c r="P105" s="524"/>
      <c r="Q105" s="524"/>
      <c r="R105" s="524"/>
      <c r="S105" s="552"/>
      <c r="T105" s="29"/>
    </row>
    <row r="106" spans="1:53" s="7" customFormat="1" ht="78.75" customHeight="1">
      <c r="A106" s="531" t="s">
        <v>953</v>
      </c>
      <c r="B106" s="565" t="s">
        <v>954</v>
      </c>
      <c r="C106" s="121" t="s">
        <v>955</v>
      </c>
      <c r="D106" s="166" t="s">
        <v>78</v>
      </c>
      <c r="E106" s="290" t="s">
        <v>16</v>
      </c>
      <c r="F106" s="291">
        <v>1</v>
      </c>
      <c r="G106" s="115" t="s">
        <v>79</v>
      </c>
      <c r="H106" s="163">
        <v>5000</v>
      </c>
      <c r="I106" s="247">
        <f>1945*2</f>
        <v>3890</v>
      </c>
      <c r="J106" s="162">
        <f>P106*40%</f>
        <v>7780000</v>
      </c>
      <c r="K106" s="162">
        <f>P106*40%</f>
        <v>7780000</v>
      </c>
      <c r="L106" s="162">
        <f>P106*20%</f>
        <v>3890000</v>
      </c>
      <c r="M106" s="162" t="s">
        <v>512</v>
      </c>
      <c r="N106" s="162" t="s">
        <v>512</v>
      </c>
      <c r="O106" s="85">
        <f aca="true" t="shared" si="11" ref="O106:O118">P106/500</f>
        <v>38900</v>
      </c>
      <c r="P106" s="163">
        <f>H106*I106</f>
        <v>19450000</v>
      </c>
      <c r="Q106" s="115" t="s">
        <v>594</v>
      </c>
      <c r="R106" s="115" t="s">
        <v>623</v>
      </c>
      <c r="S106" s="200">
        <f>P106+P107+P108+P109+P110+P111+P112+P113+P114+P120+P121+P124+P125+P126+P128+P129+P130+P131+P135+P136+P137+P140+P141+P142+P143+P147</f>
        <v>51161667032.25</v>
      </c>
      <c r="T106" s="100"/>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row>
    <row r="107" spans="1:53" s="7" customFormat="1" ht="60.75" customHeight="1">
      <c r="A107" s="532"/>
      <c r="B107" s="674"/>
      <c r="C107" s="441" t="s">
        <v>956</v>
      </c>
      <c r="D107" s="463" t="s">
        <v>80</v>
      </c>
      <c r="E107" s="290"/>
      <c r="F107" s="291"/>
      <c r="G107" s="115" t="s">
        <v>829</v>
      </c>
      <c r="H107" s="163">
        <v>7000000</v>
      </c>
      <c r="I107" s="247">
        <v>4</v>
      </c>
      <c r="J107" s="163">
        <v>14000000</v>
      </c>
      <c r="K107" s="163" t="s">
        <v>512</v>
      </c>
      <c r="L107" s="163">
        <v>14000000</v>
      </c>
      <c r="M107" s="162"/>
      <c r="N107" s="182" t="s">
        <v>512</v>
      </c>
      <c r="O107" s="85">
        <f t="shared" si="11"/>
        <v>56000</v>
      </c>
      <c r="P107" s="163">
        <f>H107*I107</f>
        <v>28000000</v>
      </c>
      <c r="Q107" s="115" t="s">
        <v>594</v>
      </c>
      <c r="R107" s="115" t="s">
        <v>594</v>
      </c>
      <c r="S107" s="244"/>
      <c r="T107" s="28"/>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row>
    <row r="108" spans="1:53" s="7" customFormat="1" ht="45" customHeight="1">
      <c r="A108" s="532"/>
      <c r="B108" s="674"/>
      <c r="C108" s="448"/>
      <c r="D108" s="427"/>
      <c r="E108" s="290"/>
      <c r="F108" s="291"/>
      <c r="G108" s="115" t="s">
        <v>866</v>
      </c>
      <c r="H108" s="163">
        <v>2000000</v>
      </c>
      <c r="I108" s="247">
        <v>30</v>
      </c>
      <c r="J108" s="163">
        <f>H108*6</f>
        <v>12000000</v>
      </c>
      <c r="K108" s="163">
        <f>H108*6</f>
        <v>12000000</v>
      </c>
      <c r="L108" s="163">
        <f>H108*6</f>
        <v>12000000</v>
      </c>
      <c r="M108" s="163">
        <f>H108*6</f>
        <v>12000000</v>
      </c>
      <c r="N108" s="163">
        <f>H108*6</f>
        <v>12000000</v>
      </c>
      <c r="O108" s="85"/>
      <c r="P108" s="163">
        <f>I108*H108</f>
        <v>60000000</v>
      </c>
      <c r="Q108" s="115"/>
      <c r="R108" s="115"/>
      <c r="S108" s="244"/>
      <c r="T108" s="28"/>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row>
    <row r="109" spans="1:53" s="7" customFormat="1" ht="45" customHeight="1">
      <c r="A109" s="532"/>
      <c r="B109" s="674"/>
      <c r="C109" s="448"/>
      <c r="D109" s="427"/>
      <c r="E109" s="538">
        <v>0.4</v>
      </c>
      <c r="F109" s="656">
        <v>0.5</v>
      </c>
      <c r="G109" s="115" t="s">
        <v>823</v>
      </c>
      <c r="H109" s="163">
        <v>7000000</v>
      </c>
      <c r="I109" s="247">
        <f>85*7/25</f>
        <v>23.8</v>
      </c>
      <c r="J109" s="163">
        <f>P109*50%</f>
        <v>83300000</v>
      </c>
      <c r="K109" s="163">
        <f>P109*40%</f>
        <v>66640000</v>
      </c>
      <c r="L109" s="163">
        <f>P109*10%</f>
        <v>16660000</v>
      </c>
      <c r="M109" s="163" t="s">
        <v>512</v>
      </c>
      <c r="N109" s="292" t="s">
        <v>512</v>
      </c>
      <c r="O109" s="85">
        <f t="shared" si="11"/>
        <v>333200</v>
      </c>
      <c r="P109" s="163">
        <f>H109*I109</f>
        <v>166600000</v>
      </c>
      <c r="Q109" s="115" t="s">
        <v>594</v>
      </c>
      <c r="R109" s="115" t="s">
        <v>594</v>
      </c>
      <c r="S109" s="244"/>
      <c r="T109" s="28"/>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row>
    <row r="110" spans="1:53" s="7" customFormat="1" ht="69" customHeight="1">
      <c r="A110" s="532"/>
      <c r="B110" s="674"/>
      <c r="C110" s="448"/>
      <c r="D110" s="428"/>
      <c r="E110" s="538"/>
      <c r="F110" s="656"/>
      <c r="G110" s="115" t="s">
        <v>827</v>
      </c>
      <c r="H110" s="163">
        <f>60000*12</f>
        <v>720000</v>
      </c>
      <c r="I110" s="247">
        <f>45*5</f>
        <v>225</v>
      </c>
      <c r="J110" s="163">
        <f>75*720000</f>
        <v>54000000</v>
      </c>
      <c r="K110" s="163">
        <f>75*720000</f>
        <v>54000000</v>
      </c>
      <c r="L110" s="163">
        <f>75*720000</f>
        <v>54000000</v>
      </c>
      <c r="M110" s="163">
        <v>0</v>
      </c>
      <c r="N110" s="293">
        <f>M110</f>
        <v>0</v>
      </c>
      <c r="O110" s="85">
        <f>P110/500</f>
        <v>324000</v>
      </c>
      <c r="P110" s="163">
        <f>H110*I110</f>
        <v>162000000</v>
      </c>
      <c r="Q110" s="115" t="s">
        <v>594</v>
      </c>
      <c r="R110" s="115" t="s">
        <v>594</v>
      </c>
      <c r="S110" s="244"/>
      <c r="T110" s="28"/>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row>
    <row r="111" spans="1:53" s="7" customFormat="1" ht="67.5" customHeight="1">
      <c r="A111" s="532"/>
      <c r="B111" s="674"/>
      <c r="C111" s="448"/>
      <c r="D111" s="464"/>
      <c r="E111" s="549"/>
      <c r="F111" s="538"/>
      <c r="G111" s="115" t="s">
        <v>824</v>
      </c>
      <c r="H111" s="163">
        <v>7000000</v>
      </c>
      <c r="I111" s="247">
        <f>1910*2/25</f>
        <v>152.8</v>
      </c>
      <c r="J111" s="163">
        <f>P111*50%</f>
        <v>534800000.00000006</v>
      </c>
      <c r="K111" s="163">
        <f>P111*40%</f>
        <v>427840000.00000006</v>
      </c>
      <c r="L111" s="163">
        <f>P111*10%</f>
        <v>106960000.00000001</v>
      </c>
      <c r="M111" s="162"/>
      <c r="N111" s="182" t="s">
        <v>512</v>
      </c>
      <c r="O111" s="85">
        <f>P111/500</f>
        <v>2139200.0000000005</v>
      </c>
      <c r="P111" s="163">
        <f>H111*I111</f>
        <v>1069600000.0000001</v>
      </c>
      <c r="Q111" s="115" t="s">
        <v>594</v>
      </c>
      <c r="R111" s="115" t="s">
        <v>594</v>
      </c>
      <c r="S111" s="244"/>
      <c r="T111" s="28"/>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row>
    <row r="112" spans="1:153" s="7" customFormat="1" ht="66" customHeight="1">
      <c r="A112" s="532"/>
      <c r="B112" s="674"/>
      <c r="C112" s="448"/>
      <c r="D112" s="464"/>
      <c r="E112" s="549"/>
      <c r="F112" s="538"/>
      <c r="G112" s="115" t="s">
        <v>828</v>
      </c>
      <c r="H112" s="163">
        <f>150000*3</f>
        <v>450000</v>
      </c>
      <c r="I112" s="247">
        <v>1945</v>
      </c>
      <c r="J112" s="163">
        <f>I112*50%*450000</f>
        <v>437625000</v>
      </c>
      <c r="K112" s="163">
        <f>I112*450000*40%</f>
        <v>350100000</v>
      </c>
      <c r="L112" s="163">
        <f>I112*10%*450000</f>
        <v>87525000</v>
      </c>
      <c r="M112" s="162" t="s">
        <v>512</v>
      </c>
      <c r="N112" s="182" t="s">
        <v>512</v>
      </c>
      <c r="O112" s="85">
        <f t="shared" si="11"/>
        <v>1750500</v>
      </c>
      <c r="P112" s="163">
        <f>H112*I112</f>
        <v>875250000</v>
      </c>
      <c r="Q112" s="115" t="s">
        <v>594</v>
      </c>
      <c r="R112" s="115" t="s">
        <v>594</v>
      </c>
      <c r="S112" s="244"/>
      <c r="T112" s="28"/>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row>
    <row r="113" spans="1:153" s="7" customFormat="1" ht="60" customHeight="1">
      <c r="A113" s="532"/>
      <c r="B113" s="674"/>
      <c r="C113" s="441" t="s">
        <v>957</v>
      </c>
      <c r="D113" s="262"/>
      <c r="E113" s="294"/>
      <c r="F113" s="295"/>
      <c r="G113" s="115" t="s">
        <v>825</v>
      </c>
      <c r="H113" s="163">
        <v>7000000</v>
      </c>
      <c r="I113" s="247">
        <v>10</v>
      </c>
      <c r="J113" s="163">
        <f>H113*3</f>
        <v>21000000</v>
      </c>
      <c r="K113" s="163">
        <f>H113*3</f>
        <v>21000000</v>
      </c>
      <c r="L113" s="163">
        <f>H113*4</f>
        <v>28000000</v>
      </c>
      <c r="M113" s="162" t="s">
        <v>512</v>
      </c>
      <c r="N113" s="182" t="s">
        <v>512</v>
      </c>
      <c r="O113" s="85">
        <f t="shared" si="11"/>
        <v>140000</v>
      </c>
      <c r="P113" s="163">
        <f>I113*H113</f>
        <v>70000000</v>
      </c>
      <c r="Q113" s="115" t="s">
        <v>594</v>
      </c>
      <c r="R113" s="115"/>
      <c r="S113" s="244"/>
      <c r="T113" s="28"/>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row>
    <row r="114" spans="1:153" s="7" customFormat="1" ht="48" customHeight="1">
      <c r="A114" s="532"/>
      <c r="B114" s="674"/>
      <c r="C114" s="448"/>
      <c r="D114" s="262"/>
      <c r="E114" s="294"/>
      <c r="F114" s="295"/>
      <c r="G114" s="115" t="s">
        <v>865</v>
      </c>
      <c r="H114" s="163">
        <v>2000000</v>
      </c>
      <c r="I114" s="247">
        <v>20</v>
      </c>
      <c r="J114" s="163">
        <f>H114*4</f>
        <v>8000000</v>
      </c>
      <c r="K114" s="163">
        <f>H114*4</f>
        <v>8000000</v>
      </c>
      <c r="L114" s="163">
        <f>H114*4</f>
        <v>8000000</v>
      </c>
      <c r="M114" s="163">
        <f>H114*4</f>
        <v>8000000</v>
      </c>
      <c r="N114" s="296">
        <f>H114*4</f>
        <v>8000000</v>
      </c>
      <c r="O114" s="85">
        <f t="shared" si="11"/>
        <v>80000</v>
      </c>
      <c r="P114" s="163">
        <f>I114*H114</f>
        <v>40000000</v>
      </c>
      <c r="Q114" s="115" t="s">
        <v>594</v>
      </c>
      <c r="R114" s="115"/>
      <c r="S114" s="244"/>
      <c r="T114" s="28"/>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row>
    <row r="115" spans="1:53" s="67" customFormat="1" ht="74.25" customHeight="1">
      <c r="A115" s="532"/>
      <c r="B115" s="674"/>
      <c r="C115" s="448"/>
      <c r="D115" s="262" t="s">
        <v>81</v>
      </c>
      <c r="E115" s="297" t="s">
        <v>16</v>
      </c>
      <c r="F115" s="267">
        <v>1</v>
      </c>
      <c r="G115" s="115" t="s">
        <v>826</v>
      </c>
      <c r="H115" s="163">
        <v>7000000</v>
      </c>
      <c r="I115" s="247">
        <v>5</v>
      </c>
      <c r="J115" s="163">
        <v>14000000</v>
      </c>
      <c r="K115" s="163">
        <f>H115*3</f>
        <v>21000000</v>
      </c>
      <c r="L115" s="163"/>
      <c r="M115" s="162" t="s">
        <v>512</v>
      </c>
      <c r="N115" s="296"/>
      <c r="O115" s="85">
        <f>P115/500</f>
        <v>70000</v>
      </c>
      <c r="P115" s="163">
        <f>I115*H115</f>
        <v>35000000</v>
      </c>
      <c r="Q115" s="115" t="s">
        <v>716</v>
      </c>
      <c r="R115" s="115" t="s">
        <v>594</v>
      </c>
      <c r="S115" s="244"/>
      <c r="T115" s="28"/>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row>
    <row r="116" spans="1:53" s="57" customFormat="1" ht="74.25" customHeight="1">
      <c r="A116" s="532"/>
      <c r="B116" s="674"/>
      <c r="C116" s="448"/>
      <c r="D116" s="262" t="s">
        <v>81</v>
      </c>
      <c r="E116" s="297" t="s">
        <v>16</v>
      </c>
      <c r="F116" s="267">
        <v>1</v>
      </c>
      <c r="G116" s="115" t="s">
        <v>826</v>
      </c>
      <c r="H116" s="163">
        <v>7000000</v>
      </c>
      <c r="I116" s="247">
        <v>3</v>
      </c>
      <c r="J116" s="163">
        <v>7000000</v>
      </c>
      <c r="K116" s="163">
        <v>14000000</v>
      </c>
      <c r="L116" s="163"/>
      <c r="M116" s="162" t="s">
        <v>512</v>
      </c>
      <c r="N116" s="164"/>
      <c r="O116" s="85">
        <f t="shared" si="11"/>
        <v>42000</v>
      </c>
      <c r="P116" s="163">
        <f>H116*I116</f>
        <v>21000000</v>
      </c>
      <c r="Q116" s="115" t="s">
        <v>717</v>
      </c>
      <c r="R116" s="115" t="s">
        <v>594</v>
      </c>
      <c r="S116" s="253"/>
      <c r="T116" s="28"/>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row>
    <row r="117" spans="1:53" s="57" customFormat="1" ht="99.75" customHeight="1">
      <c r="A117" s="532"/>
      <c r="B117" s="674"/>
      <c r="C117" s="448"/>
      <c r="D117" s="262" t="s">
        <v>82</v>
      </c>
      <c r="E117" s="279" t="s">
        <v>16</v>
      </c>
      <c r="F117" s="265">
        <v>1</v>
      </c>
      <c r="G117" s="115" t="s">
        <v>516</v>
      </c>
      <c r="H117" s="163">
        <f>150000*3</f>
        <v>450000</v>
      </c>
      <c r="I117" s="247">
        <v>33</v>
      </c>
      <c r="J117" s="162">
        <f>I117*40%*H117</f>
        <v>5940000.000000001</v>
      </c>
      <c r="K117" s="162">
        <f>I117*60%*450000</f>
        <v>8910000</v>
      </c>
      <c r="L117" s="162"/>
      <c r="M117" s="162" t="s">
        <v>512</v>
      </c>
      <c r="N117" s="164"/>
      <c r="O117" s="85">
        <f>P117/500</f>
        <v>29700</v>
      </c>
      <c r="P117" s="163">
        <f>H117*I117</f>
        <v>14850000</v>
      </c>
      <c r="Q117" s="115" t="s">
        <v>717</v>
      </c>
      <c r="R117" s="115" t="s">
        <v>624</v>
      </c>
      <c r="S117" s="244"/>
      <c r="T117" s="28"/>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row>
    <row r="118" spans="1:53" s="67" customFormat="1" ht="99.75" customHeight="1">
      <c r="A118" s="532"/>
      <c r="B118" s="674"/>
      <c r="C118" s="448"/>
      <c r="D118" s="262" t="s">
        <v>82</v>
      </c>
      <c r="E118" s="279" t="s">
        <v>16</v>
      </c>
      <c r="F118" s="265">
        <v>1</v>
      </c>
      <c r="G118" s="115" t="s">
        <v>516</v>
      </c>
      <c r="H118" s="163">
        <f>150000*3</f>
        <v>450000</v>
      </c>
      <c r="I118" s="247">
        <v>88</v>
      </c>
      <c r="J118" s="162">
        <f>I118*40%*H118</f>
        <v>15840000.000000002</v>
      </c>
      <c r="K118" s="162">
        <f>I118*60%*450000</f>
        <v>23760000</v>
      </c>
      <c r="L118" s="162"/>
      <c r="M118" s="162" t="s">
        <v>512</v>
      </c>
      <c r="N118" s="164"/>
      <c r="O118" s="85">
        <f t="shared" si="11"/>
        <v>79200</v>
      </c>
      <c r="P118" s="163">
        <f>H118*I118</f>
        <v>39600000</v>
      </c>
      <c r="Q118" s="115" t="s">
        <v>716</v>
      </c>
      <c r="R118" s="115" t="s">
        <v>624</v>
      </c>
      <c r="S118" s="244"/>
      <c r="T118" s="28"/>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row>
    <row r="119" spans="1:53" s="7" customFormat="1" ht="64.5" customHeight="1">
      <c r="A119" s="532"/>
      <c r="B119" s="674"/>
      <c r="C119" s="448"/>
      <c r="D119" s="166" t="s">
        <v>83</v>
      </c>
      <c r="E119" s="280" t="s">
        <v>16</v>
      </c>
      <c r="F119" s="278">
        <v>1</v>
      </c>
      <c r="G119" s="166" t="s">
        <v>84</v>
      </c>
      <c r="H119" s="163" t="s">
        <v>28</v>
      </c>
      <c r="I119" s="247" t="s">
        <v>28</v>
      </c>
      <c r="J119" s="163"/>
      <c r="K119" s="163"/>
      <c r="L119" s="163"/>
      <c r="M119" s="163"/>
      <c r="N119" s="298"/>
      <c r="O119" s="45"/>
      <c r="P119" s="162" t="s">
        <v>28</v>
      </c>
      <c r="Q119" s="115" t="s">
        <v>22</v>
      </c>
      <c r="R119" s="115" t="s">
        <v>624</v>
      </c>
      <c r="S119" s="244" t="s">
        <v>85</v>
      </c>
      <c r="T119" s="28"/>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row>
    <row r="120" spans="1:53" s="7" customFormat="1" ht="69" customHeight="1">
      <c r="A120" s="532"/>
      <c r="B120" s="674"/>
      <c r="C120" s="448" t="s">
        <v>958</v>
      </c>
      <c r="D120" s="441" t="s">
        <v>774</v>
      </c>
      <c r="E120" s="546" t="s">
        <v>16</v>
      </c>
      <c r="F120" s="466">
        <v>1</v>
      </c>
      <c r="G120" s="262" t="s">
        <v>87</v>
      </c>
      <c r="H120" s="263">
        <f>25000000*2</f>
        <v>50000000</v>
      </c>
      <c r="I120" s="299">
        <v>5</v>
      </c>
      <c r="J120" s="173">
        <f aca="true" t="shared" si="12" ref="J120:J126">H120</f>
        <v>50000000</v>
      </c>
      <c r="K120" s="173">
        <f aca="true" t="shared" si="13" ref="K120:K126">H120</f>
        <v>50000000</v>
      </c>
      <c r="L120" s="173">
        <f aca="true" t="shared" si="14" ref="L120:L126">H120</f>
        <v>50000000</v>
      </c>
      <c r="M120" s="173">
        <f aca="true" t="shared" si="15" ref="M120:M126">H120</f>
        <v>50000000</v>
      </c>
      <c r="N120" s="173">
        <f aca="true" t="shared" si="16" ref="N120:N126">H120</f>
        <v>50000000</v>
      </c>
      <c r="O120" s="117">
        <f aca="true" t="shared" si="17" ref="O120:O126">P120/500</f>
        <v>500000</v>
      </c>
      <c r="P120" s="263">
        <f>H120*I120</f>
        <v>250000000</v>
      </c>
      <c r="Q120" s="115" t="s">
        <v>594</v>
      </c>
      <c r="R120" s="115" t="s">
        <v>594</v>
      </c>
      <c r="S120" s="201" t="s">
        <v>86</v>
      </c>
      <c r="T120" s="28"/>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row>
    <row r="121" spans="1:53" s="7" customFormat="1" ht="79.5" customHeight="1">
      <c r="A121" s="532"/>
      <c r="B121" s="674"/>
      <c r="C121" s="448"/>
      <c r="D121" s="448"/>
      <c r="E121" s="546"/>
      <c r="F121" s="466"/>
      <c r="G121" s="115" t="s">
        <v>830</v>
      </c>
      <c r="H121" s="163">
        <f>(100000*12*85)+(75000*4*20)</f>
        <v>108000000</v>
      </c>
      <c r="I121" s="247">
        <v>5</v>
      </c>
      <c r="J121" s="162">
        <f t="shared" si="12"/>
        <v>108000000</v>
      </c>
      <c r="K121" s="162">
        <f t="shared" si="13"/>
        <v>108000000</v>
      </c>
      <c r="L121" s="162">
        <f t="shared" si="14"/>
        <v>108000000</v>
      </c>
      <c r="M121" s="162">
        <f t="shared" si="15"/>
        <v>108000000</v>
      </c>
      <c r="N121" s="162">
        <f t="shared" si="16"/>
        <v>108000000</v>
      </c>
      <c r="O121" s="85">
        <f t="shared" si="17"/>
        <v>1080000</v>
      </c>
      <c r="P121" s="163">
        <f>H121*I121</f>
        <v>540000000</v>
      </c>
      <c r="Q121" s="115" t="s">
        <v>594</v>
      </c>
      <c r="R121" s="115" t="s">
        <v>625</v>
      </c>
      <c r="S121" s="244"/>
      <c r="T121" s="28"/>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row>
    <row r="122" spans="1:53" s="57" customFormat="1" ht="79.5" customHeight="1">
      <c r="A122" s="532"/>
      <c r="B122" s="674"/>
      <c r="C122" s="448"/>
      <c r="D122" s="448"/>
      <c r="E122" s="546"/>
      <c r="F122" s="466"/>
      <c r="G122" s="115" t="s">
        <v>831</v>
      </c>
      <c r="H122" s="163">
        <f>(50000*12*15)</f>
        <v>9000000</v>
      </c>
      <c r="I122" s="247">
        <v>5</v>
      </c>
      <c r="J122" s="162">
        <f t="shared" si="12"/>
        <v>9000000</v>
      </c>
      <c r="K122" s="162">
        <f t="shared" si="13"/>
        <v>9000000</v>
      </c>
      <c r="L122" s="162">
        <f t="shared" si="14"/>
        <v>9000000</v>
      </c>
      <c r="M122" s="162">
        <f t="shared" si="15"/>
        <v>9000000</v>
      </c>
      <c r="N122" s="162">
        <f t="shared" si="16"/>
        <v>9000000</v>
      </c>
      <c r="O122" s="85">
        <f t="shared" si="17"/>
        <v>90000</v>
      </c>
      <c r="P122" s="163">
        <f>H122*I122</f>
        <v>45000000</v>
      </c>
      <c r="Q122" s="115" t="s">
        <v>717</v>
      </c>
      <c r="R122" s="115" t="s">
        <v>625</v>
      </c>
      <c r="S122" s="244"/>
      <c r="T122" s="28"/>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row>
    <row r="123" spans="1:53" s="58" customFormat="1" ht="79.5" customHeight="1">
      <c r="A123" s="532"/>
      <c r="B123" s="674"/>
      <c r="C123" s="448"/>
      <c r="D123" s="448"/>
      <c r="E123" s="546"/>
      <c r="F123" s="466"/>
      <c r="G123" s="115" t="s">
        <v>773</v>
      </c>
      <c r="H123" s="163">
        <f>(50000*12*25)</f>
        <v>15000000</v>
      </c>
      <c r="I123" s="247">
        <v>5</v>
      </c>
      <c r="J123" s="162">
        <f t="shared" si="12"/>
        <v>15000000</v>
      </c>
      <c r="K123" s="162">
        <f t="shared" si="13"/>
        <v>15000000</v>
      </c>
      <c r="L123" s="162">
        <f t="shared" si="14"/>
        <v>15000000</v>
      </c>
      <c r="M123" s="162">
        <f t="shared" si="15"/>
        <v>15000000</v>
      </c>
      <c r="N123" s="162">
        <f t="shared" si="16"/>
        <v>15000000</v>
      </c>
      <c r="O123" s="85">
        <f t="shared" si="17"/>
        <v>150000</v>
      </c>
      <c r="P123" s="163">
        <f>H123*I123</f>
        <v>75000000</v>
      </c>
      <c r="Q123" s="115" t="s">
        <v>716</v>
      </c>
      <c r="R123" s="115" t="s">
        <v>625</v>
      </c>
      <c r="S123" s="244"/>
      <c r="T123" s="28"/>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row>
    <row r="124" spans="1:53" s="7" customFormat="1" ht="79.5" customHeight="1">
      <c r="A124" s="532"/>
      <c r="B124" s="674"/>
      <c r="C124" s="448"/>
      <c r="D124" s="448"/>
      <c r="E124" s="546"/>
      <c r="F124" s="466"/>
      <c r="G124" s="115" t="s">
        <v>832</v>
      </c>
      <c r="H124" s="163">
        <f>30000000*2</f>
        <v>60000000</v>
      </c>
      <c r="I124" s="247">
        <v>5</v>
      </c>
      <c r="J124" s="162">
        <f t="shared" si="12"/>
        <v>60000000</v>
      </c>
      <c r="K124" s="162">
        <f t="shared" si="13"/>
        <v>60000000</v>
      </c>
      <c r="L124" s="162">
        <f t="shared" si="14"/>
        <v>60000000</v>
      </c>
      <c r="M124" s="162">
        <f t="shared" si="15"/>
        <v>60000000</v>
      </c>
      <c r="N124" s="162">
        <f t="shared" si="16"/>
        <v>60000000</v>
      </c>
      <c r="O124" s="85">
        <f t="shared" si="17"/>
        <v>600000</v>
      </c>
      <c r="P124" s="163">
        <f>H124*I124</f>
        <v>300000000</v>
      </c>
      <c r="Q124" s="115" t="s">
        <v>594</v>
      </c>
      <c r="R124" s="115" t="s">
        <v>625</v>
      </c>
      <c r="S124" s="244"/>
      <c r="T124" s="28"/>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row>
    <row r="125" spans="1:153" s="7" customFormat="1" ht="66" customHeight="1">
      <c r="A125" s="532"/>
      <c r="B125" s="674"/>
      <c r="C125" s="448"/>
      <c r="D125" s="448"/>
      <c r="E125" s="294"/>
      <c r="F125" s="295"/>
      <c r="G125" s="115" t="s">
        <v>890</v>
      </c>
      <c r="H125" s="163">
        <v>15000000</v>
      </c>
      <c r="I125" s="247">
        <v>5</v>
      </c>
      <c r="J125" s="163">
        <f t="shared" si="12"/>
        <v>15000000</v>
      </c>
      <c r="K125" s="163">
        <f t="shared" si="13"/>
        <v>15000000</v>
      </c>
      <c r="L125" s="163">
        <f t="shared" si="14"/>
        <v>15000000</v>
      </c>
      <c r="M125" s="162">
        <f t="shared" si="15"/>
        <v>15000000</v>
      </c>
      <c r="N125" s="300">
        <f t="shared" si="16"/>
        <v>15000000</v>
      </c>
      <c r="O125" s="85">
        <f t="shared" si="17"/>
        <v>150000</v>
      </c>
      <c r="P125" s="163">
        <f>I125*H125</f>
        <v>75000000</v>
      </c>
      <c r="Q125" s="115"/>
      <c r="R125" s="115"/>
      <c r="S125" s="244"/>
      <c r="T125" s="28"/>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row>
    <row r="126" spans="1:153" s="7" customFormat="1" ht="66" customHeight="1">
      <c r="A126" s="532"/>
      <c r="B126" s="674"/>
      <c r="C126" s="442"/>
      <c r="D126" s="442"/>
      <c r="E126" s="294"/>
      <c r="F126" s="295"/>
      <c r="G126" s="115" t="s">
        <v>889</v>
      </c>
      <c r="H126" s="163">
        <v>10000000</v>
      </c>
      <c r="I126" s="247">
        <v>5</v>
      </c>
      <c r="J126" s="163">
        <f t="shared" si="12"/>
        <v>10000000</v>
      </c>
      <c r="K126" s="163">
        <f t="shared" si="13"/>
        <v>10000000</v>
      </c>
      <c r="L126" s="163">
        <f t="shared" si="14"/>
        <v>10000000</v>
      </c>
      <c r="M126" s="162">
        <f t="shared" si="15"/>
        <v>10000000</v>
      </c>
      <c r="N126" s="300">
        <f t="shared" si="16"/>
        <v>10000000</v>
      </c>
      <c r="O126" s="85">
        <f t="shared" si="17"/>
        <v>100000</v>
      </c>
      <c r="P126" s="163">
        <f>I126*H126</f>
        <v>50000000</v>
      </c>
      <c r="Q126" s="115"/>
      <c r="R126" s="115"/>
      <c r="S126" s="244"/>
      <c r="T126" s="28"/>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row>
    <row r="127" spans="1:53" s="7" customFormat="1" ht="54" customHeight="1">
      <c r="A127" s="532"/>
      <c r="B127" s="674"/>
      <c r="C127" s="470" t="s">
        <v>959</v>
      </c>
      <c r="D127" s="464" t="s">
        <v>867</v>
      </c>
      <c r="E127" s="538">
        <v>0.15</v>
      </c>
      <c r="F127" s="538">
        <v>1</v>
      </c>
      <c r="G127" s="115" t="s">
        <v>891</v>
      </c>
      <c r="H127" s="163">
        <v>0</v>
      </c>
      <c r="I127" s="247" t="s">
        <v>512</v>
      </c>
      <c r="J127" s="162" t="s">
        <v>512</v>
      </c>
      <c r="K127" s="162" t="s">
        <v>512</v>
      </c>
      <c r="L127" s="162" t="s">
        <v>512</v>
      </c>
      <c r="M127" s="162" t="s">
        <v>512</v>
      </c>
      <c r="N127" s="300"/>
      <c r="O127" s="85" t="s">
        <v>512</v>
      </c>
      <c r="P127" s="163" t="s">
        <v>512</v>
      </c>
      <c r="Q127" s="115" t="s">
        <v>594</v>
      </c>
      <c r="R127" s="115" t="s">
        <v>512</v>
      </c>
      <c r="S127" s="244"/>
      <c r="T127" s="28"/>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row>
    <row r="128" spans="1:53" s="7" customFormat="1" ht="45" customHeight="1">
      <c r="A128" s="532"/>
      <c r="B128" s="674"/>
      <c r="C128" s="470"/>
      <c r="D128" s="464"/>
      <c r="E128" s="538"/>
      <c r="F128" s="538"/>
      <c r="G128" s="115" t="s">
        <v>775</v>
      </c>
      <c r="H128" s="163">
        <v>35000000</v>
      </c>
      <c r="I128" s="247">
        <f>4*5+H127</f>
        <v>20</v>
      </c>
      <c r="J128" s="162">
        <f>H128*4</f>
        <v>140000000</v>
      </c>
      <c r="K128" s="162">
        <f>H128*4</f>
        <v>140000000</v>
      </c>
      <c r="L128" s="162">
        <f>H128*4</f>
        <v>140000000</v>
      </c>
      <c r="M128" s="162">
        <f>H128*4</f>
        <v>140000000</v>
      </c>
      <c r="N128" s="162">
        <f>H128*4</f>
        <v>140000000</v>
      </c>
      <c r="O128" s="85">
        <f aca="true" t="shared" si="18" ref="O128:O133">P128/500</f>
        <v>1400000</v>
      </c>
      <c r="P128" s="163">
        <f aca="true" t="shared" si="19" ref="P128:P133">H128*I128</f>
        <v>700000000</v>
      </c>
      <c r="Q128" s="115" t="s">
        <v>594</v>
      </c>
      <c r="R128" s="115" t="s">
        <v>626</v>
      </c>
      <c r="S128" s="244"/>
      <c r="T128" s="28"/>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row>
    <row r="129" spans="1:53" s="7" customFormat="1" ht="120" customHeight="1">
      <c r="A129" s="532"/>
      <c r="B129" s="674"/>
      <c r="C129" s="121" t="s">
        <v>960</v>
      </c>
      <c r="D129" s="262" t="s">
        <v>60</v>
      </c>
      <c r="E129" s="260">
        <v>0</v>
      </c>
      <c r="F129" s="266">
        <v>20</v>
      </c>
      <c r="G129" s="262" t="s">
        <v>892</v>
      </c>
      <c r="H129" s="263">
        <f>15000000*2</f>
        <v>30000000</v>
      </c>
      <c r="I129" s="299">
        <f>20*5</f>
        <v>100</v>
      </c>
      <c r="J129" s="173">
        <f>20*H129</f>
        <v>600000000</v>
      </c>
      <c r="K129" s="173">
        <f>20*H129</f>
        <v>600000000</v>
      </c>
      <c r="L129" s="173">
        <f>K129</f>
        <v>600000000</v>
      </c>
      <c r="M129" s="173">
        <f>L129</f>
        <v>600000000</v>
      </c>
      <c r="N129" s="173">
        <f>M129</f>
        <v>600000000</v>
      </c>
      <c r="O129" s="117">
        <f t="shared" si="18"/>
        <v>6000000</v>
      </c>
      <c r="P129" s="173">
        <f t="shared" si="19"/>
        <v>3000000000</v>
      </c>
      <c r="Q129" s="259" t="s">
        <v>594</v>
      </c>
      <c r="R129" s="259" t="s">
        <v>603</v>
      </c>
      <c r="S129" s="244"/>
      <c r="T129" s="28"/>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row>
    <row r="130" spans="1:53" s="7" customFormat="1" ht="92.25" customHeight="1">
      <c r="A130" s="532"/>
      <c r="B130" s="441" t="s">
        <v>961</v>
      </c>
      <c r="C130" s="301" t="s">
        <v>962</v>
      </c>
      <c r="D130" s="262" t="s">
        <v>837</v>
      </c>
      <c r="E130" s="302">
        <v>0</v>
      </c>
      <c r="F130" s="290">
        <v>1</v>
      </c>
      <c r="G130" s="262" t="s">
        <v>844</v>
      </c>
      <c r="H130" s="163">
        <v>7000000</v>
      </c>
      <c r="I130" s="247">
        <v>2</v>
      </c>
      <c r="J130" s="162">
        <v>7000000</v>
      </c>
      <c r="K130" s="162"/>
      <c r="L130" s="162">
        <v>7000000</v>
      </c>
      <c r="M130" s="162">
        <v>0</v>
      </c>
      <c r="N130" s="162">
        <v>0</v>
      </c>
      <c r="O130" s="85">
        <f t="shared" si="18"/>
        <v>28000</v>
      </c>
      <c r="P130" s="163">
        <f t="shared" si="19"/>
        <v>14000000</v>
      </c>
      <c r="Q130" s="115" t="s">
        <v>594</v>
      </c>
      <c r="R130" s="115" t="s">
        <v>594</v>
      </c>
      <c r="S130" s="244"/>
      <c r="T130" s="28"/>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row>
    <row r="131" spans="1:53" s="42" customFormat="1" ht="63" customHeight="1">
      <c r="A131" s="532"/>
      <c r="B131" s="529"/>
      <c r="C131" s="441" t="s">
        <v>963</v>
      </c>
      <c r="D131" s="464" t="s">
        <v>836</v>
      </c>
      <c r="E131" s="539" t="s">
        <v>16</v>
      </c>
      <c r="F131" s="538">
        <v>1</v>
      </c>
      <c r="G131" s="166" t="s">
        <v>728</v>
      </c>
      <c r="H131" s="163">
        <v>337150</v>
      </c>
      <c r="I131" s="247">
        <f>1945+1945*30%</f>
        <v>2528.5</v>
      </c>
      <c r="J131" s="163">
        <f>1945*45%*H131</f>
        <v>295090537.5</v>
      </c>
      <c r="K131" s="163">
        <f>1945*40%*H131</f>
        <v>262302700</v>
      </c>
      <c r="L131" s="163">
        <f>1945*35%*H131</f>
        <v>229514862.5</v>
      </c>
      <c r="M131" s="162">
        <f>1945*10%*H131</f>
        <v>65575675</v>
      </c>
      <c r="N131" s="300"/>
      <c r="O131" s="85">
        <f t="shared" si="18"/>
        <v>1704967.55</v>
      </c>
      <c r="P131" s="163">
        <f t="shared" si="19"/>
        <v>852483775</v>
      </c>
      <c r="Q131" s="115" t="s">
        <v>594</v>
      </c>
      <c r="R131" s="115" t="s">
        <v>22</v>
      </c>
      <c r="S131" s="201"/>
      <c r="T131" s="28"/>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row>
    <row r="132" spans="1:53" s="57" customFormat="1" ht="71.25" customHeight="1">
      <c r="A132" s="532"/>
      <c r="B132" s="529"/>
      <c r="C132" s="448"/>
      <c r="D132" s="464"/>
      <c r="E132" s="539"/>
      <c r="F132" s="538"/>
      <c r="G132" s="166" t="s">
        <v>833</v>
      </c>
      <c r="H132" s="163">
        <v>337150</v>
      </c>
      <c r="I132" s="247">
        <v>40</v>
      </c>
      <c r="J132" s="162">
        <f>I132*40%*H132</f>
        <v>5394400</v>
      </c>
      <c r="K132" s="162">
        <f>H132*40%*I132</f>
        <v>5394400</v>
      </c>
      <c r="L132" s="162"/>
      <c r="M132" s="162">
        <f>I132*20%*H132</f>
        <v>2697200</v>
      </c>
      <c r="N132" s="303" t="s">
        <v>512</v>
      </c>
      <c r="O132" s="85">
        <f t="shared" si="18"/>
        <v>26972</v>
      </c>
      <c r="P132" s="163">
        <f t="shared" si="19"/>
        <v>13486000</v>
      </c>
      <c r="Q132" s="115" t="s">
        <v>838</v>
      </c>
      <c r="R132" s="115" t="s">
        <v>594</v>
      </c>
      <c r="S132" s="244"/>
      <c r="T132" s="28"/>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row>
    <row r="133" spans="1:53" s="58" customFormat="1" ht="71.25" customHeight="1">
      <c r="A133" s="532"/>
      <c r="B133" s="529"/>
      <c r="C133" s="448"/>
      <c r="D133" s="464"/>
      <c r="E133" s="539"/>
      <c r="F133" s="538"/>
      <c r="G133" s="166" t="s">
        <v>833</v>
      </c>
      <c r="H133" s="163">
        <v>337150</v>
      </c>
      <c r="I133" s="247">
        <v>100</v>
      </c>
      <c r="J133" s="162">
        <f>I133*40%*H133</f>
        <v>13486000</v>
      </c>
      <c r="K133" s="162">
        <f>H133*40%*I133</f>
        <v>13486000</v>
      </c>
      <c r="L133" s="162"/>
      <c r="M133" s="162">
        <f>I133*20%*H133</f>
        <v>6743000</v>
      </c>
      <c r="N133" s="303" t="s">
        <v>512</v>
      </c>
      <c r="O133" s="85">
        <f t="shared" si="18"/>
        <v>67430</v>
      </c>
      <c r="P133" s="163">
        <f t="shared" si="19"/>
        <v>33715000</v>
      </c>
      <c r="Q133" s="115" t="s">
        <v>716</v>
      </c>
      <c r="R133" s="115" t="s">
        <v>594</v>
      </c>
      <c r="S133" s="244"/>
      <c r="T133" s="28"/>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row>
    <row r="134" spans="1:53" s="7" customFormat="1" ht="71.25" customHeight="1">
      <c r="A134" s="532"/>
      <c r="B134" s="529"/>
      <c r="C134" s="442"/>
      <c r="D134" s="166" t="s">
        <v>835</v>
      </c>
      <c r="E134" s="302"/>
      <c r="F134" s="291"/>
      <c r="G134" s="166" t="s">
        <v>847</v>
      </c>
      <c r="H134" s="163" t="s">
        <v>28</v>
      </c>
      <c r="I134" s="247"/>
      <c r="J134" s="162"/>
      <c r="K134" s="162"/>
      <c r="L134" s="162"/>
      <c r="M134" s="162"/>
      <c r="N134" s="164"/>
      <c r="O134" s="85"/>
      <c r="P134" s="163"/>
      <c r="Q134" s="115"/>
      <c r="R134" s="115"/>
      <c r="S134" s="244"/>
      <c r="T134" s="28"/>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row>
    <row r="135" spans="1:53" s="7" customFormat="1" ht="63" customHeight="1">
      <c r="A135" s="532"/>
      <c r="B135" s="529"/>
      <c r="C135" s="522" t="s">
        <v>964</v>
      </c>
      <c r="D135" s="115" t="s">
        <v>88</v>
      </c>
      <c r="E135" s="302">
        <v>0</v>
      </c>
      <c r="F135" s="290">
        <v>1</v>
      </c>
      <c r="G135" s="115" t="s">
        <v>893</v>
      </c>
      <c r="H135" s="163">
        <v>7000000</v>
      </c>
      <c r="I135" s="247">
        <v>1</v>
      </c>
      <c r="J135" s="162">
        <v>7000000</v>
      </c>
      <c r="K135" s="162"/>
      <c r="L135" s="162">
        <v>0</v>
      </c>
      <c r="M135" s="162">
        <v>0</v>
      </c>
      <c r="N135" s="162">
        <v>0</v>
      </c>
      <c r="O135" s="85">
        <f>P135/500</f>
        <v>14000</v>
      </c>
      <c r="P135" s="163">
        <f aca="true" t="shared" si="20" ref="P135:P140">H135*I135</f>
        <v>7000000</v>
      </c>
      <c r="Q135" s="115" t="s">
        <v>594</v>
      </c>
      <c r="R135" s="115" t="s">
        <v>594</v>
      </c>
      <c r="S135" s="244"/>
      <c r="T135" s="28"/>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row>
    <row r="136" spans="1:53" s="7" customFormat="1" ht="82.5" customHeight="1">
      <c r="A136" s="532"/>
      <c r="B136" s="529"/>
      <c r="C136" s="572"/>
      <c r="D136" s="115"/>
      <c r="E136" s="278"/>
      <c r="F136" s="265"/>
      <c r="G136" s="166" t="s">
        <v>846</v>
      </c>
      <c r="H136" s="163">
        <v>150000000</v>
      </c>
      <c r="I136" s="284">
        <v>5</v>
      </c>
      <c r="J136" s="163">
        <v>150000000</v>
      </c>
      <c r="K136" s="163">
        <v>150000000</v>
      </c>
      <c r="L136" s="163">
        <v>150000000</v>
      </c>
      <c r="M136" s="163">
        <v>150000000</v>
      </c>
      <c r="N136" s="163">
        <v>150000000</v>
      </c>
      <c r="O136" s="45">
        <f>H136/500</f>
        <v>300000</v>
      </c>
      <c r="P136" s="163">
        <f t="shared" si="20"/>
        <v>750000000</v>
      </c>
      <c r="Q136" s="115" t="s">
        <v>594</v>
      </c>
      <c r="R136" s="115" t="s">
        <v>594</v>
      </c>
      <c r="S136" s="202"/>
      <c r="T136" s="28"/>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row>
    <row r="137" spans="1:67" s="7" customFormat="1" ht="45" customHeight="1">
      <c r="A137" s="532"/>
      <c r="B137" s="529"/>
      <c r="C137" s="572"/>
      <c r="D137" s="115" t="s">
        <v>90</v>
      </c>
      <c r="E137" s="302" t="s">
        <v>16</v>
      </c>
      <c r="F137" s="291">
        <v>1</v>
      </c>
      <c r="G137" s="115" t="s">
        <v>834</v>
      </c>
      <c r="H137" s="163">
        <v>7000000</v>
      </c>
      <c r="I137" s="247">
        <v>10</v>
      </c>
      <c r="J137" s="162">
        <f>3*H137</f>
        <v>21000000</v>
      </c>
      <c r="K137" s="162">
        <f>4*H137</f>
        <v>28000000</v>
      </c>
      <c r="L137" s="162">
        <f>H137*3</f>
        <v>21000000</v>
      </c>
      <c r="M137" s="162"/>
      <c r="N137" s="162"/>
      <c r="O137" s="85">
        <f>P137/500</f>
        <v>140000</v>
      </c>
      <c r="P137" s="163">
        <f t="shared" si="20"/>
        <v>70000000</v>
      </c>
      <c r="Q137" s="115" t="s">
        <v>594</v>
      </c>
      <c r="R137" s="115" t="s">
        <v>594</v>
      </c>
      <c r="S137" s="244"/>
      <c r="T137" s="28"/>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42"/>
      <c r="BC137" s="42"/>
      <c r="BD137" s="42"/>
      <c r="BE137" s="42"/>
      <c r="BF137" s="42"/>
      <c r="BG137" s="42"/>
      <c r="BH137" s="42"/>
      <c r="BI137" s="42"/>
      <c r="BJ137" s="42"/>
      <c r="BK137" s="42"/>
      <c r="BL137" s="42"/>
      <c r="BM137" s="42"/>
      <c r="BN137" s="42"/>
      <c r="BO137" s="42"/>
    </row>
    <row r="138" spans="1:67" s="57" customFormat="1" ht="60" customHeight="1">
      <c r="A138" s="532"/>
      <c r="B138" s="529"/>
      <c r="C138" s="572"/>
      <c r="D138" s="115" t="s">
        <v>91</v>
      </c>
      <c r="E138" s="302" t="s">
        <v>16</v>
      </c>
      <c r="F138" s="291">
        <v>1</v>
      </c>
      <c r="G138" s="115" t="s">
        <v>839</v>
      </c>
      <c r="H138" s="163">
        <v>5000</v>
      </c>
      <c r="I138" s="247">
        <v>40</v>
      </c>
      <c r="J138" s="163">
        <f>I138*40%*H138</f>
        <v>80000</v>
      </c>
      <c r="K138" s="163">
        <f>H138*40%*I138</f>
        <v>80000</v>
      </c>
      <c r="L138" s="163">
        <f>I138*20%*H138</f>
        <v>40000</v>
      </c>
      <c r="M138" s="162"/>
      <c r="N138" s="182" t="s">
        <v>512</v>
      </c>
      <c r="O138" s="85">
        <f aca="true" t="shared" si="21" ref="O138:O147">P138/500</f>
        <v>400</v>
      </c>
      <c r="P138" s="163">
        <f t="shared" si="20"/>
        <v>200000</v>
      </c>
      <c r="Q138" s="115" t="s">
        <v>717</v>
      </c>
      <c r="R138" s="115" t="s">
        <v>594</v>
      </c>
      <c r="S138" s="244"/>
      <c r="T138" s="28"/>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42"/>
      <c r="BC138" s="42"/>
      <c r="BD138" s="42"/>
      <c r="BE138" s="42"/>
      <c r="BF138" s="42"/>
      <c r="BG138" s="42"/>
      <c r="BH138" s="42"/>
      <c r="BI138" s="42"/>
      <c r="BJ138" s="42"/>
      <c r="BK138" s="42"/>
      <c r="BL138" s="42"/>
      <c r="BM138" s="42"/>
      <c r="BN138" s="42"/>
      <c r="BO138" s="42"/>
    </row>
    <row r="139" spans="1:67" s="58" customFormat="1" ht="60" customHeight="1">
      <c r="A139" s="532"/>
      <c r="B139" s="529"/>
      <c r="C139" s="572"/>
      <c r="D139" s="115" t="s">
        <v>91</v>
      </c>
      <c r="E139" s="302" t="s">
        <v>16</v>
      </c>
      <c r="F139" s="291">
        <v>1</v>
      </c>
      <c r="G139" s="115" t="s">
        <v>894</v>
      </c>
      <c r="H139" s="163">
        <v>5000</v>
      </c>
      <c r="I139" s="247">
        <v>100</v>
      </c>
      <c r="J139" s="163">
        <f>I139*40%*H139</f>
        <v>200000</v>
      </c>
      <c r="K139" s="163">
        <f>H139*40%*I139</f>
        <v>200000</v>
      </c>
      <c r="L139" s="163">
        <f>I139*20%*H139</f>
        <v>100000</v>
      </c>
      <c r="M139" s="162"/>
      <c r="N139" s="182" t="s">
        <v>512</v>
      </c>
      <c r="O139" s="85">
        <f t="shared" si="21"/>
        <v>1000</v>
      </c>
      <c r="P139" s="163">
        <f t="shared" si="20"/>
        <v>500000</v>
      </c>
      <c r="Q139" s="115" t="s">
        <v>716</v>
      </c>
      <c r="R139" s="115" t="s">
        <v>594</v>
      </c>
      <c r="S139" s="244"/>
      <c r="T139" s="28"/>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42"/>
      <c r="BC139" s="42"/>
      <c r="BD139" s="42"/>
      <c r="BE139" s="42"/>
      <c r="BF139" s="42"/>
      <c r="BG139" s="42"/>
      <c r="BH139" s="42"/>
      <c r="BI139" s="42"/>
      <c r="BJ139" s="42"/>
      <c r="BK139" s="42"/>
      <c r="BL139" s="42"/>
      <c r="BM139" s="42"/>
      <c r="BN139" s="42"/>
      <c r="BO139" s="42"/>
    </row>
    <row r="140" spans="1:67" s="7" customFormat="1" ht="60" customHeight="1">
      <c r="A140" s="532"/>
      <c r="B140" s="553"/>
      <c r="C140" s="557"/>
      <c r="D140" s="115" t="s">
        <v>845</v>
      </c>
      <c r="E140" s="302" t="s">
        <v>16</v>
      </c>
      <c r="F140" s="291">
        <v>1</v>
      </c>
      <c r="G140" s="115" t="s">
        <v>840</v>
      </c>
      <c r="H140" s="163">
        <v>5000</v>
      </c>
      <c r="I140" s="247">
        <v>1946</v>
      </c>
      <c r="J140" s="163">
        <f>I140*40%*H140</f>
        <v>3892000.0000000005</v>
      </c>
      <c r="K140" s="163">
        <f>H140*40%*I140</f>
        <v>3892000</v>
      </c>
      <c r="L140" s="163">
        <f>I140*20%*H140</f>
        <v>1946000.0000000002</v>
      </c>
      <c r="M140" s="162" t="s">
        <v>512</v>
      </c>
      <c r="N140" s="300"/>
      <c r="O140" s="85">
        <f t="shared" si="21"/>
        <v>19460</v>
      </c>
      <c r="P140" s="163">
        <f t="shared" si="20"/>
        <v>9730000</v>
      </c>
      <c r="Q140" s="115" t="s">
        <v>594</v>
      </c>
      <c r="R140" s="115" t="s">
        <v>594</v>
      </c>
      <c r="S140" s="244"/>
      <c r="T140" s="28"/>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42"/>
      <c r="BC140" s="42"/>
      <c r="BD140" s="42"/>
      <c r="BE140" s="42"/>
      <c r="BF140" s="42"/>
      <c r="BG140" s="42"/>
      <c r="BH140" s="42"/>
      <c r="BI140" s="42"/>
      <c r="BJ140" s="42"/>
      <c r="BK140" s="42"/>
      <c r="BL140" s="42"/>
      <c r="BM140" s="42"/>
      <c r="BN140" s="42"/>
      <c r="BO140" s="42"/>
    </row>
    <row r="141" spans="1:53" s="7" customFormat="1" ht="60" customHeight="1">
      <c r="A141" s="532"/>
      <c r="B141" s="528" t="s">
        <v>965</v>
      </c>
      <c r="C141" s="522" t="s">
        <v>966</v>
      </c>
      <c r="D141" s="464" t="s">
        <v>92</v>
      </c>
      <c r="E141" s="653" t="s">
        <v>16</v>
      </c>
      <c r="F141" s="466">
        <v>0.8</v>
      </c>
      <c r="G141" s="115" t="s">
        <v>93</v>
      </c>
      <c r="H141" s="163">
        <f>231.9*500</f>
        <v>115950</v>
      </c>
      <c r="I141" s="247">
        <f>46503*85%+47712*85%+(48253*75%)+(52260*50%)+(51531*25%)</f>
        <v>155285.25</v>
      </c>
      <c r="J141" s="163">
        <f>H141*46503*85%</f>
        <v>4583219422.5</v>
      </c>
      <c r="K141" s="163">
        <f>47712*H141*85%</f>
        <v>4702375440</v>
      </c>
      <c r="L141" s="163">
        <f>H141*(48253*75%)</f>
        <v>4196201512.5</v>
      </c>
      <c r="M141" s="163">
        <f>H141*(52260*50%)</f>
        <v>3029773500</v>
      </c>
      <c r="N141" s="163">
        <f>H141*(51531*25%)</f>
        <v>1493754862.5</v>
      </c>
      <c r="O141" s="85">
        <f t="shared" si="21"/>
        <v>36010649.475</v>
      </c>
      <c r="P141" s="163">
        <f>I141*H141</f>
        <v>18005324737.5</v>
      </c>
      <c r="Q141" s="115" t="s">
        <v>594</v>
      </c>
      <c r="R141" s="115" t="s">
        <v>594</v>
      </c>
      <c r="S141" s="244"/>
      <c r="T141" s="28"/>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row>
    <row r="142" spans="1:53" s="7" customFormat="1" ht="60" customHeight="1">
      <c r="A142" s="532"/>
      <c r="B142" s="529"/>
      <c r="C142" s="572"/>
      <c r="D142" s="464"/>
      <c r="E142" s="653"/>
      <c r="F142" s="466"/>
      <c r="G142" s="115" t="s">
        <v>94</v>
      </c>
      <c r="H142" s="163">
        <f>248.07*500</f>
        <v>124035</v>
      </c>
      <c r="I142" s="247">
        <f>8206+8420+(8638*75%)+(8863*50%)+(9094*25%)</f>
        <v>29809.5</v>
      </c>
      <c r="J142" s="163">
        <f>H142*8206</f>
        <v>1017831210</v>
      </c>
      <c r="K142" s="163">
        <f>H142*8420</f>
        <v>1044374700</v>
      </c>
      <c r="L142" s="163">
        <f>8638*75%*H142</f>
        <v>803560747.5</v>
      </c>
      <c r="M142" s="163">
        <f>8863*50%*H142</f>
        <v>549661102.5</v>
      </c>
      <c r="N142" s="163">
        <f>9094*25%*H142</f>
        <v>281993572.5</v>
      </c>
      <c r="O142" s="85">
        <f t="shared" si="21"/>
        <v>7394842.665</v>
      </c>
      <c r="P142" s="163">
        <f>I142*H142</f>
        <v>3697421332.5</v>
      </c>
      <c r="Q142" s="115" t="s">
        <v>594</v>
      </c>
      <c r="R142" s="115" t="s">
        <v>594</v>
      </c>
      <c r="S142" s="244"/>
      <c r="T142" s="28"/>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row>
    <row r="143" spans="1:53" s="42" customFormat="1" ht="72.75" customHeight="1">
      <c r="A143" s="532"/>
      <c r="B143" s="529"/>
      <c r="C143" s="557"/>
      <c r="D143" s="258" t="s">
        <v>841</v>
      </c>
      <c r="E143" s="278">
        <v>0.11</v>
      </c>
      <c r="F143" s="265">
        <v>0.35</v>
      </c>
      <c r="G143" s="115" t="s">
        <v>95</v>
      </c>
      <c r="H143" s="163">
        <f>71.99*500</f>
        <v>35995</v>
      </c>
      <c r="I143" s="247">
        <f>(241368+247644+190562+130345+133734)*35%</f>
        <v>330278.55</v>
      </c>
      <c r="J143" s="163">
        <f>241368*H143*35%</f>
        <v>3040814406</v>
      </c>
      <c r="K143" s="163">
        <f>247644*H143*35%</f>
        <v>3119881023</v>
      </c>
      <c r="L143" s="163">
        <f>190562*H143*35%</f>
        <v>2400747716.5</v>
      </c>
      <c r="M143" s="163">
        <f>130345*H143*35%</f>
        <v>1642118896.25</v>
      </c>
      <c r="N143" s="163">
        <f>133734*H143*35%</f>
        <v>1684814365.5</v>
      </c>
      <c r="O143" s="85">
        <f t="shared" si="21"/>
        <v>23776752.8145</v>
      </c>
      <c r="P143" s="163">
        <f>I143*H143</f>
        <v>11888376407.25</v>
      </c>
      <c r="Q143" s="115" t="s">
        <v>594</v>
      </c>
      <c r="R143" s="115" t="s">
        <v>594</v>
      </c>
      <c r="S143" s="244"/>
      <c r="T143" s="28"/>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row>
    <row r="144" spans="1:53" s="57" customFormat="1" ht="72.75" customHeight="1">
      <c r="A144" s="532"/>
      <c r="B144" s="529"/>
      <c r="C144" s="441" t="s">
        <v>967</v>
      </c>
      <c r="D144" s="258" t="s">
        <v>842</v>
      </c>
      <c r="E144" s="278">
        <v>0.11</v>
      </c>
      <c r="F144" s="265">
        <v>0.1</v>
      </c>
      <c r="G144" s="115" t="s">
        <v>95</v>
      </c>
      <c r="H144" s="163">
        <f>71.99*500</f>
        <v>35995</v>
      </c>
      <c r="I144" s="247">
        <f>(241368+247644+190562+130345+133734)*10%</f>
        <v>94365.3</v>
      </c>
      <c r="J144" s="163">
        <f>241368*H144*10%</f>
        <v>868804116</v>
      </c>
      <c r="K144" s="163">
        <f>247644*H144*10%</f>
        <v>891394578</v>
      </c>
      <c r="L144" s="163">
        <f>190562*H144*10%</f>
        <v>685927919</v>
      </c>
      <c r="M144" s="163">
        <f>130345*H144*10%</f>
        <v>469176827.5</v>
      </c>
      <c r="N144" s="163">
        <f>133734*H144*10%</f>
        <v>481375533</v>
      </c>
      <c r="O144" s="85">
        <f t="shared" si="21"/>
        <v>6793357.947</v>
      </c>
      <c r="P144" s="163">
        <f>I144*H144</f>
        <v>3396678973.5</v>
      </c>
      <c r="Q144" s="115" t="s">
        <v>726</v>
      </c>
      <c r="R144" s="115" t="s">
        <v>594</v>
      </c>
      <c r="S144" s="253">
        <f>P144+P138+P132+P122+P117+P116</f>
        <v>3491214973.5</v>
      </c>
      <c r="T144" s="28"/>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row>
    <row r="145" spans="1:53" s="58" customFormat="1" ht="72.75" customHeight="1">
      <c r="A145" s="532"/>
      <c r="B145" s="529"/>
      <c r="C145" s="448"/>
      <c r="D145" s="258" t="s">
        <v>843</v>
      </c>
      <c r="E145" s="278">
        <v>0.11</v>
      </c>
      <c r="F145" s="265">
        <v>0.2</v>
      </c>
      <c r="G145" s="115" t="s">
        <v>95</v>
      </c>
      <c r="H145" s="163">
        <f>71.99*500</f>
        <v>35995</v>
      </c>
      <c r="I145" s="247">
        <f>(241368+247644+190562+130345+133734)*20%</f>
        <v>188730.6</v>
      </c>
      <c r="J145" s="163">
        <f>241368*H145*20%</f>
        <v>1737608232</v>
      </c>
      <c r="K145" s="163">
        <f>247644*H145*20%</f>
        <v>1782789156</v>
      </c>
      <c r="L145" s="163">
        <f>190562*H145*20%</f>
        <v>1371855838</v>
      </c>
      <c r="M145" s="163">
        <f>130345*H145*20%</f>
        <v>938353655</v>
      </c>
      <c r="N145" s="163">
        <f>133734*H145*20%</f>
        <v>962751066</v>
      </c>
      <c r="O145" s="85">
        <f t="shared" si="21"/>
        <v>13586715.894</v>
      </c>
      <c r="P145" s="163">
        <f>I145*H145</f>
        <v>6793357947</v>
      </c>
      <c r="Q145" s="115" t="s">
        <v>767</v>
      </c>
      <c r="R145" s="115"/>
      <c r="S145" s="253">
        <f>P145+P139+P133+P123+P118+P115</f>
        <v>6977172947</v>
      </c>
      <c r="T145" s="28"/>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row>
    <row r="146" spans="1:53" s="7" customFormat="1" ht="64.5" customHeight="1">
      <c r="A146" s="532"/>
      <c r="B146" s="529"/>
      <c r="C146" s="442"/>
      <c r="D146" s="258" t="s">
        <v>627</v>
      </c>
      <c r="E146" s="278" t="s">
        <v>16</v>
      </c>
      <c r="F146" s="265">
        <v>0.25</v>
      </c>
      <c r="G146" s="115" t="s">
        <v>875</v>
      </c>
      <c r="H146" s="163" t="s">
        <v>28</v>
      </c>
      <c r="I146" s="247" t="s">
        <v>28</v>
      </c>
      <c r="J146" s="162">
        <v>0</v>
      </c>
      <c r="K146" s="162"/>
      <c r="L146" s="162" t="s">
        <v>512</v>
      </c>
      <c r="M146" s="162">
        <v>0</v>
      </c>
      <c r="N146" s="162" t="s">
        <v>512</v>
      </c>
      <c r="O146" s="85" t="s">
        <v>512</v>
      </c>
      <c r="P146" s="163" t="s">
        <v>28</v>
      </c>
      <c r="Q146" s="115" t="s">
        <v>594</v>
      </c>
      <c r="R146" s="115" t="s">
        <v>594</v>
      </c>
      <c r="S146" s="201"/>
      <c r="T146" s="28"/>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row>
    <row r="147" spans="1:53" s="7" customFormat="1" ht="72.75" customHeight="1">
      <c r="A147" s="532"/>
      <c r="B147" s="529"/>
      <c r="C147" s="464"/>
      <c r="D147" s="258" t="s">
        <v>861</v>
      </c>
      <c r="E147" s="278" t="s">
        <v>96</v>
      </c>
      <c r="F147" s="265">
        <v>0.6</v>
      </c>
      <c r="G147" s="115" t="s">
        <v>862</v>
      </c>
      <c r="H147" s="163">
        <f>104.06*500</f>
        <v>52030</v>
      </c>
      <c r="I147" s="247">
        <f>25995+39467+40468+27997+28699</f>
        <v>162626</v>
      </c>
      <c r="J147" s="163">
        <f>25995*H147</f>
        <v>1352519850</v>
      </c>
      <c r="K147" s="163">
        <f>39467*H147</f>
        <v>2053468010</v>
      </c>
      <c r="L147" s="163">
        <f>40468*H147</f>
        <v>2105550040</v>
      </c>
      <c r="M147" s="163">
        <f>27997*H147</f>
        <v>1456683910</v>
      </c>
      <c r="N147" s="163">
        <f>28699*H147</f>
        <v>1493208970</v>
      </c>
      <c r="O147" s="85">
        <f t="shared" si="21"/>
        <v>16922861.56</v>
      </c>
      <c r="P147" s="163">
        <f>I147*H147</f>
        <v>8461430780</v>
      </c>
      <c r="Q147" s="115" t="s">
        <v>594</v>
      </c>
      <c r="R147" s="115" t="s">
        <v>594</v>
      </c>
      <c r="S147" s="244"/>
      <c r="T147" s="28"/>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row>
    <row r="148" spans="1:53" s="7" customFormat="1" ht="72.75" customHeight="1">
      <c r="A148" s="532"/>
      <c r="B148" s="529"/>
      <c r="C148" s="464"/>
      <c r="D148" s="304"/>
      <c r="E148" s="278"/>
      <c r="F148" s="265"/>
      <c r="G148" s="115"/>
      <c r="H148" s="163"/>
      <c r="I148" s="247"/>
      <c r="J148" s="163"/>
      <c r="K148" s="163"/>
      <c r="L148" s="163"/>
      <c r="M148" s="163"/>
      <c r="N148" s="163"/>
      <c r="O148" s="85"/>
      <c r="P148" s="163"/>
      <c r="Q148" s="305">
        <f>P147+P145+P144+P143+P142+P141+P140+P139+P138+P137+P136+P135+P133+P132+P131+P130+P129+P128+P126+P125+P124+P123+P122+P121+P120+P118+P117+P116+P115+P114+P113+P112+P111+P110+P109+P108+P107+P106</f>
        <v>61630054952.75</v>
      </c>
      <c r="R148" s="115"/>
      <c r="S148" s="244"/>
      <c r="T148" s="28"/>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row>
    <row r="149" spans="1:61" s="7" customFormat="1" ht="82.5" customHeight="1">
      <c r="A149" s="532"/>
      <c r="B149" s="529"/>
      <c r="C149" s="464"/>
      <c r="D149" s="304" t="s">
        <v>97</v>
      </c>
      <c r="E149" s="278" t="s">
        <v>16</v>
      </c>
      <c r="F149" s="265">
        <v>0.6</v>
      </c>
      <c r="G149" s="115" t="s">
        <v>895</v>
      </c>
      <c r="H149" s="163" t="s">
        <v>28</v>
      </c>
      <c r="I149" s="247" t="s">
        <v>28</v>
      </c>
      <c r="J149" s="162">
        <v>0</v>
      </c>
      <c r="K149" s="162"/>
      <c r="L149" s="162">
        <v>0</v>
      </c>
      <c r="M149" s="162">
        <v>0</v>
      </c>
      <c r="N149" s="162">
        <v>0</v>
      </c>
      <c r="O149" s="85" t="s">
        <v>512</v>
      </c>
      <c r="P149" s="163" t="s">
        <v>28</v>
      </c>
      <c r="Q149" s="115" t="s">
        <v>594</v>
      </c>
      <c r="R149" s="115" t="s">
        <v>594</v>
      </c>
      <c r="S149" s="200">
        <f>P147+P143+P142+P141+P140+P137+P136+P135+P131+P130+P129+P128+P126+P125+P124+P121+P120+P114+P113+P112+P111+P110+P109+P108+P107+P106</f>
        <v>51161667032.25</v>
      </c>
      <c r="T149" s="28"/>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42"/>
      <c r="BC149" s="42"/>
      <c r="BD149" s="42"/>
      <c r="BE149" s="42"/>
      <c r="BF149" s="42"/>
      <c r="BG149" s="42"/>
      <c r="BH149" s="42"/>
      <c r="BI149" s="42"/>
    </row>
    <row r="150" spans="1:61" s="75" customFormat="1" ht="34.5" customHeight="1">
      <c r="A150" s="424" t="s">
        <v>868</v>
      </c>
      <c r="B150" s="425"/>
      <c r="C150" s="425"/>
      <c r="D150" s="425"/>
      <c r="E150" s="425"/>
      <c r="F150" s="425"/>
      <c r="G150" s="426"/>
      <c r="H150" s="72"/>
      <c r="I150" s="73"/>
      <c r="J150" s="74">
        <f>SUM(J106:J149)</f>
        <v>15326225174</v>
      </c>
      <c r="K150" s="74">
        <f>SUM(K106:K149)</f>
        <v>16079668007</v>
      </c>
      <c r="L150" s="74">
        <f>SUM(L106:L149)</f>
        <v>13311479636</v>
      </c>
      <c r="M150" s="74">
        <f>SUM(M106:M149)</f>
        <v>9337783766.25</v>
      </c>
      <c r="N150" s="74">
        <f>SUM(N106:N149)</f>
        <v>7574898369.5</v>
      </c>
      <c r="O150" s="306"/>
      <c r="P150" s="72">
        <f>SUM(P106:P149)</f>
        <v>61630054952.75</v>
      </c>
      <c r="Q150" s="77"/>
      <c r="R150" s="307">
        <f>N150+M150+L150+K150+J150</f>
        <v>61630054952.75</v>
      </c>
      <c r="S150" s="203">
        <f>S149+S145+S144</f>
        <v>61630054952.75</v>
      </c>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82"/>
      <c r="BC150" s="82"/>
      <c r="BD150" s="82"/>
      <c r="BE150" s="82"/>
      <c r="BF150" s="82"/>
      <c r="BG150" s="82"/>
      <c r="BH150" s="82"/>
      <c r="BI150" s="82"/>
    </row>
    <row r="151" spans="1:61" s="7" customFormat="1" ht="103.5" customHeight="1">
      <c r="A151" s="438" t="s">
        <v>968</v>
      </c>
      <c r="B151" s="470" t="s">
        <v>969</v>
      </c>
      <c r="C151" s="470" t="s">
        <v>970</v>
      </c>
      <c r="D151" s="115" t="s">
        <v>98</v>
      </c>
      <c r="E151" s="549">
        <v>1</v>
      </c>
      <c r="F151" s="549">
        <v>4</v>
      </c>
      <c r="G151" s="115" t="s">
        <v>99</v>
      </c>
      <c r="H151" s="163">
        <v>5000</v>
      </c>
      <c r="I151" s="247">
        <f>2500*2</f>
        <v>5000</v>
      </c>
      <c r="J151" s="163">
        <v>10000000</v>
      </c>
      <c r="K151" s="163">
        <v>10000000</v>
      </c>
      <c r="L151" s="163">
        <v>5000000</v>
      </c>
      <c r="M151" s="163" t="s">
        <v>512</v>
      </c>
      <c r="N151" s="163" t="s">
        <v>512</v>
      </c>
      <c r="O151" s="85" t="e">
        <f aca="true" t="shared" si="22" ref="O151:O164">P151/500</f>
        <v>#VALUE!</v>
      </c>
      <c r="P151" s="163" t="str">
        <f>D175</f>
        <v> Nombre de terres aménagées fonctionnels</v>
      </c>
      <c r="Q151" s="252" t="s">
        <v>594</v>
      </c>
      <c r="R151" s="252" t="s">
        <v>625</v>
      </c>
      <c r="S151" s="308" t="e">
        <f>P151+P152+P153+P154+P156+P157+P158+P161+P162+P163+P164+P166+P168+P169+P170</f>
        <v>#VALUE!</v>
      </c>
      <c r="T151" s="100"/>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42"/>
      <c r="BC151" s="42"/>
      <c r="BD151" s="42"/>
      <c r="BE151" s="42"/>
      <c r="BF151" s="42"/>
      <c r="BG151" s="42"/>
      <c r="BH151" s="42"/>
      <c r="BI151" s="42"/>
    </row>
    <row r="152" spans="1:61" s="7" customFormat="1" ht="69" customHeight="1">
      <c r="A152" s="438"/>
      <c r="B152" s="464"/>
      <c r="C152" s="470"/>
      <c r="D152" s="115" t="s">
        <v>864</v>
      </c>
      <c r="E152" s="549"/>
      <c r="F152" s="549"/>
      <c r="G152" s="115" t="s">
        <v>863</v>
      </c>
      <c r="H152" s="163">
        <f>13000000</f>
        <v>13000000</v>
      </c>
      <c r="I152" s="247">
        <v>3</v>
      </c>
      <c r="J152" s="162">
        <f>26000000</f>
        <v>26000000</v>
      </c>
      <c r="K152" s="162">
        <v>13000000</v>
      </c>
      <c r="L152" s="162" t="s">
        <v>512</v>
      </c>
      <c r="M152" s="162" t="s">
        <v>512</v>
      </c>
      <c r="N152" s="162" t="s">
        <v>512</v>
      </c>
      <c r="O152" s="85">
        <f t="shared" si="22"/>
        <v>78000</v>
      </c>
      <c r="P152" s="163">
        <f aca="true" t="shared" si="23" ref="P152:P159">H152*I152</f>
        <v>39000000</v>
      </c>
      <c r="Q152" s="309"/>
      <c r="R152" s="252" t="s">
        <v>625</v>
      </c>
      <c r="S152" s="310"/>
      <c r="T152" s="28"/>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42"/>
      <c r="BC152" s="42"/>
      <c r="BD152" s="42"/>
      <c r="BE152" s="42"/>
      <c r="BF152" s="42"/>
      <c r="BG152" s="42"/>
      <c r="BH152" s="42"/>
      <c r="BI152" s="42"/>
    </row>
    <row r="153" spans="1:53" s="7" customFormat="1" ht="61.5" customHeight="1">
      <c r="A153" s="438"/>
      <c r="B153" s="464"/>
      <c r="C153" s="470"/>
      <c r="D153" s="115"/>
      <c r="E153" s="549"/>
      <c r="F153" s="549"/>
      <c r="G153" s="115" t="s">
        <v>896</v>
      </c>
      <c r="H153" s="163">
        <v>5000</v>
      </c>
      <c r="I153" s="247">
        <v>2500</v>
      </c>
      <c r="J153" s="162">
        <f>1000*5000</f>
        <v>5000000</v>
      </c>
      <c r="K153" s="162">
        <f>1000*5000</f>
        <v>5000000</v>
      </c>
      <c r="L153" s="162">
        <f>500*5000</f>
        <v>2500000</v>
      </c>
      <c r="M153" s="162" t="s">
        <v>512</v>
      </c>
      <c r="N153" s="162" t="s">
        <v>512</v>
      </c>
      <c r="O153" s="85">
        <f>P153/500</f>
        <v>25000</v>
      </c>
      <c r="P153" s="163">
        <f t="shared" si="23"/>
        <v>12500000</v>
      </c>
      <c r="Q153" s="252" t="s">
        <v>594</v>
      </c>
      <c r="R153" s="252" t="s">
        <v>625</v>
      </c>
      <c r="S153" s="310"/>
      <c r="T153" s="28"/>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row>
    <row r="154" spans="1:53" s="7" customFormat="1" ht="55.5" customHeight="1">
      <c r="A154" s="438"/>
      <c r="B154" s="464"/>
      <c r="C154" s="470"/>
      <c r="D154" s="115"/>
      <c r="E154" s="549"/>
      <c r="F154" s="549"/>
      <c r="G154" s="115" t="s">
        <v>628</v>
      </c>
      <c r="H154" s="163">
        <v>7000000</v>
      </c>
      <c r="I154" s="247">
        <v>1</v>
      </c>
      <c r="J154" s="162">
        <v>7000000</v>
      </c>
      <c r="K154" s="162">
        <v>0</v>
      </c>
      <c r="L154" s="162">
        <v>0</v>
      </c>
      <c r="M154" s="162">
        <v>0</v>
      </c>
      <c r="N154" s="162">
        <v>0</v>
      </c>
      <c r="O154" s="85">
        <f t="shared" si="22"/>
        <v>14000</v>
      </c>
      <c r="P154" s="163">
        <f t="shared" si="23"/>
        <v>7000000</v>
      </c>
      <c r="Q154" s="252" t="s">
        <v>594</v>
      </c>
      <c r="R154" s="252" t="s">
        <v>625</v>
      </c>
      <c r="S154" s="310"/>
      <c r="T154" s="28"/>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row>
    <row r="155" spans="1:53" s="7" customFormat="1" ht="60" customHeight="1">
      <c r="A155" s="438"/>
      <c r="B155" s="464"/>
      <c r="C155" s="470" t="s">
        <v>971</v>
      </c>
      <c r="D155" s="464" t="s">
        <v>100</v>
      </c>
      <c r="E155" s="546" t="s">
        <v>16</v>
      </c>
      <c r="F155" s="466">
        <v>0.9</v>
      </c>
      <c r="G155" s="115" t="s">
        <v>629</v>
      </c>
      <c r="H155" s="163">
        <f>0</f>
        <v>0</v>
      </c>
      <c r="I155" s="247">
        <v>5</v>
      </c>
      <c r="J155" s="162" t="s">
        <v>512</v>
      </c>
      <c r="K155" s="162" t="s">
        <v>512</v>
      </c>
      <c r="L155" s="162" t="s">
        <v>512</v>
      </c>
      <c r="M155" s="162" t="s">
        <v>512</v>
      </c>
      <c r="N155" s="162" t="s">
        <v>512</v>
      </c>
      <c r="O155" s="85">
        <f t="shared" si="22"/>
        <v>0</v>
      </c>
      <c r="P155" s="163">
        <f t="shared" si="23"/>
        <v>0</v>
      </c>
      <c r="Q155" s="252" t="s">
        <v>594</v>
      </c>
      <c r="R155" s="252" t="s">
        <v>625</v>
      </c>
      <c r="S155" s="310"/>
      <c r="T155" s="28"/>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row>
    <row r="156" spans="1:53" s="7" customFormat="1" ht="54" customHeight="1">
      <c r="A156" s="438"/>
      <c r="B156" s="464"/>
      <c r="C156" s="470"/>
      <c r="D156" s="464"/>
      <c r="E156" s="546"/>
      <c r="F156" s="466"/>
      <c r="G156" s="115" t="s">
        <v>101</v>
      </c>
      <c r="H156" s="163">
        <v>7000000</v>
      </c>
      <c r="I156" s="247">
        <v>2</v>
      </c>
      <c r="J156" s="162">
        <v>7000000</v>
      </c>
      <c r="K156" s="162">
        <v>7000000</v>
      </c>
      <c r="L156" s="162" t="s">
        <v>512</v>
      </c>
      <c r="M156" s="162" t="s">
        <v>512</v>
      </c>
      <c r="N156" s="311" t="s">
        <v>512</v>
      </c>
      <c r="O156" s="85">
        <f t="shared" si="22"/>
        <v>28000</v>
      </c>
      <c r="P156" s="163">
        <f t="shared" si="23"/>
        <v>14000000</v>
      </c>
      <c r="Q156" s="252" t="s">
        <v>594</v>
      </c>
      <c r="R156" s="252" t="s">
        <v>625</v>
      </c>
      <c r="S156" s="310"/>
      <c r="T156" s="28"/>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row>
    <row r="157" spans="1:53" s="42" customFormat="1" ht="63" customHeight="1">
      <c r="A157" s="438"/>
      <c r="B157" s="464"/>
      <c r="C157" s="301"/>
      <c r="D157" s="262"/>
      <c r="E157" s="280"/>
      <c r="F157" s="265"/>
      <c r="G157" s="166" t="s">
        <v>728</v>
      </c>
      <c r="H157" s="163">
        <v>337150</v>
      </c>
      <c r="I157" s="247">
        <f>200</f>
        <v>200</v>
      </c>
      <c r="J157" s="163">
        <f>50*H157</f>
        <v>16857500</v>
      </c>
      <c r="K157" s="163">
        <f>H157*100</f>
        <v>33715000</v>
      </c>
      <c r="L157" s="163">
        <f>H157*50</f>
        <v>16857500</v>
      </c>
      <c r="M157" s="162" t="s">
        <v>512</v>
      </c>
      <c r="N157" s="300" t="s">
        <v>512</v>
      </c>
      <c r="O157" s="85">
        <f t="shared" si="22"/>
        <v>134860</v>
      </c>
      <c r="P157" s="251">
        <f t="shared" si="23"/>
        <v>67430000</v>
      </c>
      <c r="Q157" s="116" t="s">
        <v>594</v>
      </c>
      <c r="R157" s="116" t="s">
        <v>22</v>
      </c>
      <c r="S157" s="204" t="s">
        <v>89</v>
      </c>
      <c r="T157" s="28"/>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row>
    <row r="158" spans="1:53" s="7" customFormat="1" ht="51.75" customHeight="1">
      <c r="A158" s="438"/>
      <c r="B158" s="464"/>
      <c r="C158" s="501" t="s">
        <v>972</v>
      </c>
      <c r="D158" s="463" t="s">
        <v>102</v>
      </c>
      <c r="E158" s="312" t="s">
        <v>16</v>
      </c>
      <c r="F158" s="265">
        <v>0.5</v>
      </c>
      <c r="G158" s="115" t="s">
        <v>722</v>
      </c>
      <c r="H158" s="163">
        <f>104.06*500</f>
        <v>52030</v>
      </c>
      <c r="I158" s="247">
        <f>(28000*70%)+(28000*70%)+(28000*70%)+(28000*70%)+(28000*70%)</f>
        <v>98000</v>
      </c>
      <c r="J158" s="162">
        <f>28000*70%*H158</f>
        <v>1019788000</v>
      </c>
      <c r="K158" s="162">
        <f>28000*70%*H158</f>
        <v>1019788000</v>
      </c>
      <c r="L158" s="162">
        <f>28000*70%*H158</f>
        <v>1019788000</v>
      </c>
      <c r="M158" s="162">
        <f>28000*70%*H158</f>
        <v>1019788000</v>
      </c>
      <c r="N158" s="296">
        <f>28000*70%*H158</f>
        <v>1019788000</v>
      </c>
      <c r="O158" s="85">
        <f t="shared" si="22"/>
        <v>10197880</v>
      </c>
      <c r="P158" s="163">
        <f t="shared" si="23"/>
        <v>5098940000</v>
      </c>
      <c r="Q158" s="252" t="s">
        <v>594</v>
      </c>
      <c r="R158" s="252" t="s">
        <v>625</v>
      </c>
      <c r="S158" s="310"/>
      <c r="T158" s="28"/>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row>
    <row r="159" spans="1:53" s="81" customFormat="1" ht="60.75" customHeight="1">
      <c r="A159" s="438"/>
      <c r="B159" s="464"/>
      <c r="C159" s="502"/>
      <c r="D159" s="427"/>
      <c r="E159" s="312" t="s">
        <v>16</v>
      </c>
      <c r="F159" s="265">
        <v>1</v>
      </c>
      <c r="G159" s="115" t="s">
        <v>724</v>
      </c>
      <c r="H159" s="163">
        <f>104.06*500</f>
        <v>52030</v>
      </c>
      <c r="I159" s="247">
        <f>6000*5</f>
        <v>30000</v>
      </c>
      <c r="J159" s="162" t="s">
        <v>512</v>
      </c>
      <c r="K159" s="162">
        <f>H159*6000</f>
        <v>312180000</v>
      </c>
      <c r="L159" s="162">
        <f>H159*8000</f>
        <v>416240000</v>
      </c>
      <c r="M159" s="162">
        <f>H159*8000</f>
        <v>416240000</v>
      </c>
      <c r="N159" s="162">
        <f>H159*8000</f>
        <v>416240000</v>
      </c>
      <c r="O159" s="85">
        <f>P159/500</f>
        <v>3121800</v>
      </c>
      <c r="P159" s="163">
        <f t="shared" si="23"/>
        <v>1560900000</v>
      </c>
      <c r="Q159" s="115" t="s">
        <v>717</v>
      </c>
      <c r="R159" s="115"/>
      <c r="S159" s="253">
        <f>+P159+P160</f>
        <v>1620900000</v>
      </c>
      <c r="T159" s="28"/>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row>
    <row r="160" spans="1:53" s="81" customFormat="1" ht="42" customHeight="1">
      <c r="A160" s="438"/>
      <c r="B160" s="464"/>
      <c r="C160" s="502"/>
      <c r="D160" s="427"/>
      <c r="E160" s="313"/>
      <c r="F160" s="313"/>
      <c r="G160" s="314" t="s">
        <v>873</v>
      </c>
      <c r="H160" s="163">
        <f>150000</f>
        <v>150000</v>
      </c>
      <c r="I160" s="247">
        <f>80*5</f>
        <v>400</v>
      </c>
      <c r="J160" s="162">
        <f>I160*H160*10%</f>
        <v>6000000</v>
      </c>
      <c r="K160" s="162">
        <f>I160*H160*40%</f>
        <v>24000000</v>
      </c>
      <c r="L160" s="162">
        <f>I160*H160*40%</f>
        <v>24000000</v>
      </c>
      <c r="M160" s="162">
        <f>H160*I160*10%</f>
        <v>6000000</v>
      </c>
      <c r="N160" s="315" t="s">
        <v>512</v>
      </c>
      <c r="O160" s="85">
        <f>P160/500</f>
        <v>120000</v>
      </c>
      <c r="P160" s="163">
        <f>I160*H160</f>
        <v>60000000</v>
      </c>
      <c r="Q160" s="115" t="s">
        <v>717</v>
      </c>
      <c r="R160" s="313"/>
      <c r="S160" s="316"/>
      <c r="T160" s="28"/>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row>
    <row r="161" spans="1:53" s="42" customFormat="1" ht="51.75" customHeight="1">
      <c r="A161" s="438"/>
      <c r="B161" s="464"/>
      <c r="C161" s="502"/>
      <c r="D161" s="427"/>
      <c r="E161" s="278"/>
      <c r="F161" s="265"/>
      <c r="G161" s="115" t="s">
        <v>897</v>
      </c>
      <c r="H161" s="163">
        <f>104.06*500</f>
        <v>52030</v>
      </c>
      <c r="I161" s="247">
        <v>27000</v>
      </c>
      <c r="J161" s="162">
        <f>5975*H161</f>
        <v>310879250</v>
      </c>
      <c r="K161" s="162">
        <f>H161*6025</f>
        <v>313480750</v>
      </c>
      <c r="L161" s="162">
        <f>H161*6000</f>
        <v>312180000</v>
      </c>
      <c r="M161" s="162">
        <f>6000*H161</f>
        <v>312180000</v>
      </c>
      <c r="N161" s="162">
        <f>3000*H161</f>
        <v>156090000</v>
      </c>
      <c r="O161" s="85">
        <f t="shared" si="22"/>
        <v>2809620</v>
      </c>
      <c r="P161" s="163">
        <f>H161*I161</f>
        <v>1404810000</v>
      </c>
      <c r="Q161" s="115"/>
      <c r="R161" s="115"/>
      <c r="S161" s="244"/>
      <c r="T161" s="28"/>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row>
    <row r="162" spans="1:53" s="7" customFormat="1" ht="69" customHeight="1">
      <c r="A162" s="438"/>
      <c r="B162" s="464"/>
      <c r="C162" s="502"/>
      <c r="D162" s="427"/>
      <c r="E162" s="546" t="s">
        <v>16</v>
      </c>
      <c r="F162" s="466">
        <v>1</v>
      </c>
      <c r="G162" s="262" t="s">
        <v>871</v>
      </c>
      <c r="H162" s="263">
        <f>25000000*2</f>
        <v>50000000</v>
      </c>
      <c r="I162" s="299">
        <v>4</v>
      </c>
      <c r="J162" s="173">
        <v>50000000</v>
      </c>
      <c r="K162" s="173">
        <f>H162</f>
        <v>50000000</v>
      </c>
      <c r="L162" s="173">
        <f>H162</f>
        <v>50000000</v>
      </c>
      <c r="M162" s="173">
        <f>H162</f>
        <v>50000000</v>
      </c>
      <c r="N162" s="173" t="s">
        <v>512</v>
      </c>
      <c r="O162" s="117">
        <f t="shared" si="22"/>
        <v>400000</v>
      </c>
      <c r="P162" s="263">
        <f>H162*I162</f>
        <v>200000000</v>
      </c>
      <c r="Q162" s="252" t="s">
        <v>594</v>
      </c>
      <c r="R162" s="252" t="s">
        <v>594</v>
      </c>
      <c r="S162" s="205" t="s">
        <v>86</v>
      </c>
      <c r="T162" s="28"/>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row>
    <row r="163" spans="1:53" s="7" customFormat="1" ht="52.5" customHeight="1">
      <c r="A163" s="438"/>
      <c r="B163" s="464"/>
      <c r="C163" s="502"/>
      <c r="D163" s="427"/>
      <c r="E163" s="546"/>
      <c r="F163" s="466"/>
      <c r="G163" s="115" t="s">
        <v>874</v>
      </c>
      <c r="H163" s="163">
        <f>30000000*2</f>
        <v>60000000</v>
      </c>
      <c r="I163" s="247">
        <v>5</v>
      </c>
      <c r="J163" s="162">
        <f>H163</f>
        <v>60000000</v>
      </c>
      <c r="K163" s="162">
        <f>H163</f>
        <v>60000000</v>
      </c>
      <c r="L163" s="162">
        <f>H163</f>
        <v>60000000</v>
      </c>
      <c r="M163" s="162">
        <f>H163</f>
        <v>60000000</v>
      </c>
      <c r="N163" s="162">
        <f>H163</f>
        <v>60000000</v>
      </c>
      <c r="O163" s="85">
        <f t="shared" si="22"/>
        <v>600000</v>
      </c>
      <c r="P163" s="163">
        <f>H163*I163</f>
        <v>300000000</v>
      </c>
      <c r="Q163" s="252" t="s">
        <v>594</v>
      </c>
      <c r="R163" s="252" t="s">
        <v>625</v>
      </c>
      <c r="S163" s="310"/>
      <c r="T163" s="28"/>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row>
    <row r="164" spans="1:153" s="7" customFormat="1" ht="66" customHeight="1">
      <c r="A164" s="438"/>
      <c r="B164" s="464"/>
      <c r="C164" s="502"/>
      <c r="D164" s="427"/>
      <c r="E164" s="294"/>
      <c r="F164" s="295"/>
      <c r="G164" s="115" t="s">
        <v>872</v>
      </c>
      <c r="H164" s="163">
        <v>15000000</v>
      </c>
      <c r="I164" s="247">
        <v>5</v>
      </c>
      <c r="J164" s="163">
        <f>H164</f>
        <v>15000000</v>
      </c>
      <c r="K164" s="163">
        <f>H164</f>
        <v>15000000</v>
      </c>
      <c r="L164" s="163">
        <f>H164</f>
        <v>15000000</v>
      </c>
      <c r="M164" s="162">
        <f>H164</f>
        <v>15000000</v>
      </c>
      <c r="N164" s="300">
        <f>H164</f>
        <v>15000000</v>
      </c>
      <c r="O164" s="85">
        <f t="shared" si="22"/>
        <v>150000</v>
      </c>
      <c r="P164" s="251">
        <f>I164*H164</f>
        <v>75000000</v>
      </c>
      <c r="Q164" s="252"/>
      <c r="R164" s="252"/>
      <c r="S164" s="317"/>
      <c r="T164" s="28"/>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row>
    <row r="165" spans="1:53" s="7" customFormat="1" ht="78.75">
      <c r="A165" s="438"/>
      <c r="B165" s="464"/>
      <c r="C165" s="121" t="s">
        <v>973</v>
      </c>
      <c r="D165" s="115" t="s">
        <v>103</v>
      </c>
      <c r="E165" s="280" t="s">
        <v>16</v>
      </c>
      <c r="F165" s="265">
        <v>0.5</v>
      </c>
      <c r="G165" s="115" t="s">
        <v>630</v>
      </c>
      <c r="H165" s="163" t="s">
        <v>28</v>
      </c>
      <c r="I165" s="247" t="s">
        <v>28</v>
      </c>
      <c r="J165" s="162" t="s">
        <v>512</v>
      </c>
      <c r="K165" s="162" t="s">
        <v>512</v>
      </c>
      <c r="L165" s="162" t="s">
        <v>512</v>
      </c>
      <c r="M165" s="162" t="s">
        <v>512</v>
      </c>
      <c r="N165" s="303"/>
      <c r="O165" s="45" t="s">
        <v>28</v>
      </c>
      <c r="P165" s="163" t="s">
        <v>28</v>
      </c>
      <c r="Q165" s="252" t="s">
        <v>594</v>
      </c>
      <c r="R165" s="25" t="s">
        <v>631</v>
      </c>
      <c r="S165" s="310"/>
      <c r="T165" s="28"/>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row>
    <row r="166" spans="1:53" s="7" customFormat="1" ht="93.75" customHeight="1">
      <c r="A166" s="438"/>
      <c r="B166" s="464" t="s">
        <v>974</v>
      </c>
      <c r="C166" s="121" t="s">
        <v>975</v>
      </c>
      <c r="D166" s="166" t="s">
        <v>104</v>
      </c>
      <c r="E166" s="278">
        <v>0.55</v>
      </c>
      <c r="F166" s="265">
        <v>1</v>
      </c>
      <c r="G166" s="115" t="s">
        <v>494</v>
      </c>
      <c r="H166" s="163">
        <v>500000</v>
      </c>
      <c r="I166" s="247">
        <f>34</f>
        <v>34</v>
      </c>
      <c r="J166" s="162"/>
      <c r="K166" s="162">
        <f>H166*17</f>
        <v>8500000</v>
      </c>
      <c r="L166" s="162">
        <v>8500000</v>
      </c>
      <c r="M166" s="162" t="s">
        <v>512</v>
      </c>
      <c r="N166" s="162" t="s">
        <v>512</v>
      </c>
      <c r="O166" s="85">
        <f>P166/500</f>
        <v>34000</v>
      </c>
      <c r="P166" s="163">
        <f>H166*I166</f>
        <v>17000000</v>
      </c>
      <c r="Q166" s="252" t="s">
        <v>594</v>
      </c>
      <c r="R166" s="252" t="s">
        <v>105</v>
      </c>
      <c r="S166" s="310"/>
      <c r="T166" s="28"/>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row>
    <row r="167" spans="1:53" s="87" customFormat="1" ht="63">
      <c r="A167" s="438"/>
      <c r="B167" s="464"/>
      <c r="C167" s="121" t="s">
        <v>976</v>
      </c>
      <c r="D167" s="166" t="s">
        <v>106</v>
      </c>
      <c r="E167" s="278" t="s">
        <v>16</v>
      </c>
      <c r="F167" s="265">
        <v>0.5</v>
      </c>
      <c r="G167" s="115" t="s">
        <v>107</v>
      </c>
      <c r="H167" s="163">
        <v>400000</v>
      </c>
      <c r="I167" s="247">
        <v>34</v>
      </c>
      <c r="J167" s="162">
        <f>5*H167</f>
        <v>2000000</v>
      </c>
      <c r="K167" s="162">
        <f>H167*10</f>
        <v>4000000</v>
      </c>
      <c r="L167" s="162">
        <f>H167*15</f>
        <v>6000000</v>
      </c>
      <c r="M167" s="162">
        <f>H167*4</f>
        <v>1600000</v>
      </c>
      <c r="N167" s="162">
        <v>0</v>
      </c>
      <c r="O167" s="85">
        <f>P167/500</f>
        <v>27200</v>
      </c>
      <c r="P167" s="163">
        <f>H167*I167</f>
        <v>13600000</v>
      </c>
      <c r="Q167" s="115" t="s">
        <v>105</v>
      </c>
      <c r="R167" s="115" t="s">
        <v>632</v>
      </c>
      <c r="S167" s="253">
        <f>P167</f>
        <v>13600000</v>
      </c>
      <c r="T167" s="28"/>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row>
    <row r="168" spans="1:53" s="7" customFormat="1" ht="78.75">
      <c r="A168" s="438"/>
      <c r="B168" s="464"/>
      <c r="C168" s="318" t="s">
        <v>977</v>
      </c>
      <c r="D168" s="166" t="s">
        <v>108</v>
      </c>
      <c r="E168" s="278">
        <v>0.35</v>
      </c>
      <c r="F168" s="265">
        <v>1</v>
      </c>
      <c r="G168" s="115" t="s">
        <v>109</v>
      </c>
      <c r="H168" s="163">
        <v>7000000</v>
      </c>
      <c r="I168" s="247">
        <v>2</v>
      </c>
      <c r="J168" s="162">
        <v>7000000</v>
      </c>
      <c r="K168" s="162">
        <v>7000000</v>
      </c>
      <c r="L168" s="162" t="s">
        <v>512</v>
      </c>
      <c r="M168" s="162" t="s">
        <v>512</v>
      </c>
      <c r="N168" s="162" t="s">
        <v>512</v>
      </c>
      <c r="O168" s="85">
        <f>P168/500</f>
        <v>28000</v>
      </c>
      <c r="P168" s="163">
        <f>H168*I168</f>
        <v>14000000</v>
      </c>
      <c r="Q168" s="252" t="s">
        <v>594</v>
      </c>
      <c r="R168" s="252" t="s">
        <v>105</v>
      </c>
      <c r="S168" s="310"/>
      <c r="T168" s="28"/>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row>
    <row r="169" spans="1:53" s="7" customFormat="1" ht="94.5" customHeight="1">
      <c r="A169" s="438"/>
      <c r="B169" s="427"/>
      <c r="C169" s="459"/>
      <c r="D169" s="464" t="s">
        <v>723</v>
      </c>
      <c r="E169" s="530" t="s">
        <v>16</v>
      </c>
      <c r="F169" s="466">
        <v>1</v>
      </c>
      <c r="G169" s="166" t="s">
        <v>110</v>
      </c>
      <c r="H169" s="163">
        <v>337150</v>
      </c>
      <c r="I169" s="247">
        <v>34</v>
      </c>
      <c r="J169" s="162" t="s">
        <v>512</v>
      </c>
      <c r="K169" s="162">
        <f>H169*24</f>
        <v>8091600</v>
      </c>
      <c r="L169" s="162">
        <f>H169*10</f>
        <v>3371500</v>
      </c>
      <c r="M169" s="162" t="s">
        <v>512</v>
      </c>
      <c r="N169" s="162" t="s">
        <v>512</v>
      </c>
      <c r="O169" s="85">
        <f>P169/500</f>
        <v>22926.2</v>
      </c>
      <c r="P169" s="163">
        <f>H169*I169</f>
        <v>11463100</v>
      </c>
      <c r="Q169" s="252" t="s">
        <v>594</v>
      </c>
      <c r="R169" s="252" t="s">
        <v>105</v>
      </c>
      <c r="S169" s="310"/>
      <c r="T169" s="28"/>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row>
    <row r="170" spans="1:53" s="7" customFormat="1" ht="31.5">
      <c r="A170" s="438"/>
      <c r="B170" s="427"/>
      <c r="C170" s="460"/>
      <c r="D170" s="464"/>
      <c r="E170" s="530"/>
      <c r="F170" s="466"/>
      <c r="G170" s="166" t="s">
        <v>517</v>
      </c>
      <c r="H170" s="163">
        <v>20000</v>
      </c>
      <c r="I170" s="247">
        <f>3000*5</f>
        <v>15000</v>
      </c>
      <c r="J170" s="162" t="s">
        <v>512</v>
      </c>
      <c r="K170" s="162">
        <f>H170*3750</f>
        <v>75000000</v>
      </c>
      <c r="L170" s="162">
        <f>K170</f>
        <v>75000000</v>
      </c>
      <c r="M170" s="162">
        <f>K170</f>
        <v>75000000</v>
      </c>
      <c r="N170" s="164">
        <f>K170</f>
        <v>75000000</v>
      </c>
      <c r="O170" s="45">
        <f>P170/500</f>
        <v>600000</v>
      </c>
      <c r="P170" s="163">
        <f>H170*I170</f>
        <v>300000000</v>
      </c>
      <c r="Q170" s="252" t="s">
        <v>594</v>
      </c>
      <c r="R170" s="252" t="s">
        <v>105</v>
      </c>
      <c r="S170" s="310" t="s">
        <v>878</v>
      </c>
      <c r="T170" s="28"/>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row>
    <row r="171" spans="1:81" s="7" customFormat="1" ht="107.25" customHeight="1">
      <c r="A171" s="438"/>
      <c r="B171" s="428"/>
      <c r="C171" s="319" t="s">
        <v>978</v>
      </c>
      <c r="D171" s="166" t="s">
        <v>111</v>
      </c>
      <c r="E171" s="278" t="s">
        <v>16</v>
      </c>
      <c r="F171" s="265">
        <v>1</v>
      </c>
      <c r="G171" s="115" t="s">
        <v>495</v>
      </c>
      <c r="H171" s="163" t="s">
        <v>28</v>
      </c>
      <c r="I171" s="247"/>
      <c r="J171" s="162"/>
      <c r="K171" s="162" t="s">
        <v>512</v>
      </c>
      <c r="L171" s="162" t="s">
        <v>512</v>
      </c>
      <c r="M171" s="162" t="s">
        <v>512</v>
      </c>
      <c r="N171" s="303" t="s">
        <v>512</v>
      </c>
      <c r="O171" s="45" t="s">
        <v>28</v>
      </c>
      <c r="P171" s="163" t="s">
        <v>28</v>
      </c>
      <c r="Q171" s="252" t="s">
        <v>594</v>
      </c>
      <c r="R171" s="252" t="s">
        <v>105</v>
      </c>
      <c r="S171" s="200" t="e">
        <f>P170+P169+P168+P166+P164+P163+P162+P161+P158+P157+P156+P154+P153+P152+P151</f>
        <v>#VALUE!</v>
      </c>
      <c r="T171" s="28"/>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row>
    <row r="172" spans="1:81" s="71" customFormat="1" ht="33.75" customHeight="1">
      <c r="A172" s="424" t="s">
        <v>561</v>
      </c>
      <c r="B172" s="425"/>
      <c r="C172" s="425"/>
      <c r="D172" s="425"/>
      <c r="E172" s="425"/>
      <c r="F172" s="425"/>
      <c r="G172" s="425"/>
      <c r="H172" s="426"/>
      <c r="I172" s="320"/>
      <c r="J172" s="174">
        <f>SUM(J151:J171)</f>
        <v>1542524750</v>
      </c>
      <c r="K172" s="174">
        <f>SUM(K151:K171)</f>
        <v>1965755350</v>
      </c>
      <c r="L172" s="174">
        <f>SUM(L151:L171)</f>
        <v>2014437000</v>
      </c>
      <c r="M172" s="174">
        <f>SUM(M151:M171)</f>
        <v>1955808000</v>
      </c>
      <c r="N172" s="185">
        <f>SUM(N151:N171)</f>
        <v>1742118000</v>
      </c>
      <c r="O172" s="70"/>
      <c r="P172" s="320">
        <f>SUM(P151:P171)</f>
        <v>9195643100</v>
      </c>
      <c r="Q172" s="321">
        <f>N172+M172+L172+K172+J172</f>
        <v>9220643100</v>
      </c>
      <c r="R172" s="321">
        <f>P172-Q172</f>
        <v>-25000000</v>
      </c>
      <c r="S172" s="206" t="e">
        <f>S171+S159+S167</f>
        <v>#VALUE!</v>
      </c>
      <c r="T172" s="223"/>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c r="AT172" s="224"/>
      <c r="AU172" s="224"/>
      <c r="AV172" s="224"/>
      <c r="AW172" s="224"/>
      <c r="AX172" s="224"/>
      <c r="AY172" s="224"/>
      <c r="AZ172" s="224"/>
      <c r="BA172" s="224"/>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row>
    <row r="173" spans="1:81" ht="21.75" customHeight="1">
      <c r="A173" s="491" t="s">
        <v>76</v>
      </c>
      <c r="B173" s="492"/>
      <c r="C173" s="492"/>
      <c r="D173" s="492"/>
      <c r="E173" s="172"/>
      <c r="F173" s="172"/>
      <c r="G173" s="322"/>
      <c r="H173" s="323"/>
      <c r="I173" s="323"/>
      <c r="J173" s="172">
        <f>SUM(J106:J149)+SUM(J151:J171)</f>
        <v>16868749924</v>
      </c>
      <c r="K173" s="172">
        <f>SUM(K106:K149)+SUM(K151:K171)</f>
        <v>18045423357</v>
      </c>
      <c r="L173" s="172">
        <f>SUM(L106:L149)+SUM(L151:L171)</f>
        <v>15325916636</v>
      </c>
      <c r="M173" s="172">
        <f>SUM(M106:M149)+SUM(M151:M171)</f>
        <v>11293591766.25</v>
      </c>
      <c r="N173" s="172">
        <f>SUM(N106:N149)+SUM(N151:N171)</f>
        <v>9317016369.5</v>
      </c>
      <c r="O173" s="323"/>
      <c r="P173" s="172">
        <f>SUM(P106:P149)+SUM(P151:P171)</f>
        <v>70825698052.75</v>
      </c>
      <c r="Q173" s="324"/>
      <c r="R173" s="325">
        <f>N173+M173+L173+K173+J173</f>
        <v>70850698052.75</v>
      </c>
      <c r="S173" s="326"/>
      <c r="T173" s="3"/>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84"/>
      <c r="BY173" s="84"/>
      <c r="BZ173" s="84"/>
      <c r="CA173" s="84"/>
      <c r="CB173" s="84"/>
      <c r="CC173" s="84"/>
    </row>
    <row r="174" spans="1:81" s="26" customFormat="1" ht="31.5" customHeight="1">
      <c r="A174" s="523" t="s">
        <v>572</v>
      </c>
      <c r="B174" s="524"/>
      <c r="C174" s="524"/>
      <c r="D174" s="524"/>
      <c r="E174" s="524"/>
      <c r="F174" s="524"/>
      <c r="G174" s="524"/>
      <c r="H174" s="524"/>
      <c r="I174" s="524"/>
      <c r="J174" s="524"/>
      <c r="K174" s="524"/>
      <c r="L174" s="524"/>
      <c r="M174" s="524"/>
      <c r="N174" s="524"/>
      <c r="O174" s="524"/>
      <c r="P174" s="524"/>
      <c r="Q174" s="524"/>
      <c r="R174" s="524"/>
      <c r="S174" s="327"/>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84"/>
      <c r="BY174" s="84"/>
      <c r="BZ174" s="84"/>
      <c r="CA174" s="84"/>
      <c r="CB174" s="84"/>
      <c r="CC174" s="84"/>
    </row>
    <row r="175" spans="1:81" s="55" customFormat="1" ht="57.75" customHeight="1">
      <c r="A175" s="516" t="s">
        <v>979</v>
      </c>
      <c r="B175" s="513" t="s">
        <v>980</v>
      </c>
      <c r="C175" s="510" t="s">
        <v>981</v>
      </c>
      <c r="D175" s="464" t="s">
        <v>982</v>
      </c>
      <c r="E175" s="237"/>
      <c r="F175" s="328"/>
      <c r="G175" s="329" t="s">
        <v>983</v>
      </c>
      <c r="H175" s="163">
        <v>1000000000</v>
      </c>
      <c r="I175" s="256">
        <v>14</v>
      </c>
      <c r="J175" s="162">
        <v>2000000000</v>
      </c>
      <c r="K175" s="163">
        <v>4000000000</v>
      </c>
      <c r="L175" s="163">
        <v>4000000000</v>
      </c>
      <c r="M175" s="163">
        <v>4000000000</v>
      </c>
      <c r="N175" s="163" t="s">
        <v>512</v>
      </c>
      <c r="O175" s="85">
        <f>P175/500</f>
        <v>28000000</v>
      </c>
      <c r="P175" s="163">
        <f>I175*H175</f>
        <v>14000000000</v>
      </c>
      <c r="Q175" s="163" t="s">
        <v>633</v>
      </c>
      <c r="R175" s="115" t="s">
        <v>622</v>
      </c>
      <c r="S175" s="207" t="s">
        <v>243</v>
      </c>
      <c r="T175" s="225"/>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84"/>
      <c r="BY175" s="84"/>
      <c r="BZ175" s="84"/>
      <c r="CA175" s="84"/>
      <c r="CB175" s="84"/>
      <c r="CC175" s="84"/>
    </row>
    <row r="176" spans="1:81" s="55" customFormat="1" ht="31.5" customHeight="1">
      <c r="A176" s="517"/>
      <c r="B176" s="514"/>
      <c r="C176" s="511"/>
      <c r="D176" s="464"/>
      <c r="E176" s="507"/>
      <c r="F176" s="519"/>
      <c r="G176" s="467" t="s">
        <v>244</v>
      </c>
      <c r="H176" s="431">
        <v>27000000</v>
      </c>
      <c r="I176" s="439">
        <v>14</v>
      </c>
      <c r="J176" s="429">
        <f>2*H176</f>
        <v>54000000</v>
      </c>
      <c r="K176" s="431">
        <f>4*H176</f>
        <v>108000000</v>
      </c>
      <c r="L176" s="431">
        <f>4*H176</f>
        <v>108000000</v>
      </c>
      <c r="M176" s="431">
        <f>4*H176</f>
        <v>108000000</v>
      </c>
      <c r="N176" s="431"/>
      <c r="O176" s="499">
        <f>P176/500</f>
        <v>756000</v>
      </c>
      <c r="P176" s="431">
        <f>I176*H176</f>
        <v>378000000</v>
      </c>
      <c r="Q176" s="431" t="s">
        <v>633</v>
      </c>
      <c r="R176" s="463" t="s">
        <v>626</v>
      </c>
      <c r="S176" s="505" t="s">
        <v>75</v>
      </c>
      <c r="T176" s="225"/>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84"/>
      <c r="BY176" s="84"/>
      <c r="BZ176" s="84"/>
      <c r="CA176" s="84"/>
      <c r="CB176" s="84"/>
      <c r="CC176" s="84"/>
    </row>
    <row r="177" spans="1:81" s="55" customFormat="1" ht="21.75" customHeight="1">
      <c r="A177" s="517"/>
      <c r="B177" s="514"/>
      <c r="C177" s="511"/>
      <c r="D177" s="464"/>
      <c r="E177" s="508"/>
      <c r="F177" s="519"/>
      <c r="G177" s="469"/>
      <c r="H177" s="432"/>
      <c r="I177" s="440"/>
      <c r="J177" s="430"/>
      <c r="K177" s="432"/>
      <c r="L177" s="432"/>
      <c r="M177" s="432"/>
      <c r="N177" s="432"/>
      <c r="O177" s="500"/>
      <c r="P177" s="432"/>
      <c r="Q177" s="432"/>
      <c r="R177" s="428"/>
      <c r="S177" s="506"/>
      <c r="T177" s="225"/>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row>
    <row r="178" spans="1:81" s="55" customFormat="1" ht="31.5" customHeight="1">
      <c r="A178" s="517"/>
      <c r="B178" s="514"/>
      <c r="C178" s="511"/>
      <c r="D178" s="258" t="s">
        <v>984</v>
      </c>
      <c r="E178" s="280">
        <v>186</v>
      </c>
      <c r="F178" s="280">
        <v>230</v>
      </c>
      <c r="G178" s="330" t="s">
        <v>501</v>
      </c>
      <c r="H178" s="162">
        <v>3500000</v>
      </c>
      <c r="I178" s="256">
        <v>80</v>
      </c>
      <c r="J178" s="162">
        <f>15*H178</f>
        <v>52500000</v>
      </c>
      <c r="K178" s="162">
        <f>25*H178</f>
        <v>87500000</v>
      </c>
      <c r="L178" s="162">
        <f>15*H178</f>
        <v>52500000</v>
      </c>
      <c r="M178" s="162">
        <f>15*H178</f>
        <v>52500000</v>
      </c>
      <c r="N178" s="162">
        <f>10*H178</f>
        <v>35000000</v>
      </c>
      <c r="O178" s="85">
        <f>N178</f>
        <v>35000000</v>
      </c>
      <c r="P178" s="163">
        <f>I178*H178</f>
        <v>280000000</v>
      </c>
      <c r="Q178" s="163" t="s">
        <v>633</v>
      </c>
      <c r="R178" s="163" t="s">
        <v>626</v>
      </c>
      <c r="S178" s="207"/>
      <c r="T178" s="225"/>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row>
    <row r="179" spans="1:81" s="60" customFormat="1" ht="81" customHeight="1">
      <c r="A179" s="517"/>
      <c r="B179" s="514"/>
      <c r="C179" s="512"/>
      <c r="D179" s="115" t="s">
        <v>112</v>
      </c>
      <c r="E179" s="257" t="s">
        <v>16</v>
      </c>
      <c r="F179" s="265">
        <v>0.5</v>
      </c>
      <c r="G179" s="115" t="s">
        <v>408</v>
      </c>
      <c r="H179" s="162">
        <v>150000</v>
      </c>
      <c r="I179" s="256">
        <v>50000</v>
      </c>
      <c r="J179" s="162">
        <f>15000*150000</f>
        <v>2250000000</v>
      </c>
      <c r="K179" s="162">
        <f>23250*150000</f>
        <v>3487500000</v>
      </c>
      <c r="L179" s="162">
        <f>4500*150000</f>
        <v>675000000</v>
      </c>
      <c r="M179" s="162">
        <f>4750*150000</f>
        <v>712500000</v>
      </c>
      <c r="N179" s="162">
        <f>2500*150000</f>
        <v>375000000</v>
      </c>
      <c r="O179" s="85">
        <f>P179/500</f>
        <v>15000000</v>
      </c>
      <c r="P179" s="163">
        <f aca="true" t="shared" si="24" ref="P179:P197">H179*I179</f>
        <v>7500000000</v>
      </c>
      <c r="Q179" s="163" t="s">
        <v>633</v>
      </c>
      <c r="R179" s="163" t="s">
        <v>635</v>
      </c>
      <c r="S179" s="331"/>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row>
    <row r="180" spans="1:53" s="79" customFormat="1" ht="100.5" customHeight="1">
      <c r="A180" s="517"/>
      <c r="B180" s="514"/>
      <c r="C180" s="121" t="s">
        <v>985</v>
      </c>
      <c r="D180" s="166" t="s">
        <v>986</v>
      </c>
      <c r="E180" s="265">
        <v>0.15</v>
      </c>
      <c r="F180" s="265">
        <v>0.27</v>
      </c>
      <c r="G180" s="115" t="s">
        <v>418</v>
      </c>
      <c r="H180" s="162">
        <v>5431000</v>
      </c>
      <c r="I180" s="256">
        <v>1000</v>
      </c>
      <c r="J180" s="162">
        <f>H180*350</f>
        <v>1900850000</v>
      </c>
      <c r="K180" s="162">
        <f>H180*400</f>
        <v>2172400000</v>
      </c>
      <c r="L180" s="162">
        <f>H180*250</f>
        <v>1357750000</v>
      </c>
      <c r="M180" s="162">
        <v>0</v>
      </c>
      <c r="N180" s="162">
        <v>0</v>
      </c>
      <c r="O180" s="85">
        <f>P180/500</f>
        <v>10862000</v>
      </c>
      <c r="P180" s="163">
        <f t="shared" si="24"/>
        <v>5431000000</v>
      </c>
      <c r="Q180" s="163" t="s">
        <v>636</v>
      </c>
      <c r="R180" s="181" t="s">
        <v>718</v>
      </c>
      <c r="S180" s="244"/>
      <c r="T180" s="22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row>
    <row r="181" spans="1:53" s="60" customFormat="1" ht="53.25" customHeight="1">
      <c r="A181" s="517"/>
      <c r="B181" s="514"/>
      <c r="C181" s="121" t="s">
        <v>987</v>
      </c>
      <c r="D181" s="166" t="s">
        <v>114</v>
      </c>
      <c r="E181" s="257" t="s">
        <v>16</v>
      </c>
      <c r="F181" s="265">
        <v>0.5</v>
      </c>
      <c r="G181" s="115" t="s">
        <v>496</v>
      </c>
      <c r="H181" s="115">
        <f>0</f>
        <v>0</v>
      </c>
      <c r="I181" s="256">
        <v>5000</v>
      </c>
      <c r="J181" s="162" t="s">
        <v>553</v>
      </c>
      <c r="K181" s="162" t="s">
        <v>554</v>
      </c>
      <c r="L181" s="162" t="s">
        <v>555</v>
      </c>
      <c r="M181" s="162" t="s">
        <v>556</v>
      </c>
      <c r="N181" s="162"/>
      <c r="O181" s="85">
        <f>P181/500</f>
        <v>0</v>
      </c>
      <c r="P181" s="163">
        <f t="shared" si="24"/>
        <v>0</v>
      </c>
      <c r="Q181" s="163" t="s">
        <v>636</v>
      </c>
      <c r="R181" s="115" t="s">
        <v>116</v>
      </c>
      <c r="S181" s="244"/>
      <c r="T181" s="28"/>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row>
    <row r="182" spans="1:53" s="60" customFormat="1" ht="63">
      <c r="A182" s="517"/>
      <c r="B182" s="514"/>
      <c r="C182" s="166" t="s">
        <v>988</v>
      </c>
      <c r="D182" s="115" t="s">
        <v>117</v>
      </c>
      <c r="E182" s="257" t="s">
        <v>16</v>
      </c>
      <c r="F182" s="265">
        <v>0.5</v>
      </c>
      <c r="G182" s="115" t="s">
        <v>118</v>
      </c>
      <c r="H182" s="162">
        <f>2013000000/2</f>
        <v>1006500000</v>
      </c>
      <c r="I182" s="256">
        <v>5</v>
      </c>
      <c r="J182" s="162">
        <f>H182</f>
        <v>1006500000</v>
      </c>
      <c r="K182" s="162">
        <f>H182</f>
        <v>1006500000</v>
      </c>
      <c r="L182" s="162">
        <f>H182</f>
        <v>1006500000</v>
      </c>
      <c r="M182" s="162">
        <f>H182</f>
        <v>1006500000</v>
      </c>
      <c r="N182" s="162">
        <f>J182</f>
        <v>1006500000</v>
      </c>
      <c r="O182" s="85">
        <f aca="true" t="shared" si="25" ref="O182:O209">P182/500</f>
        <v>10065000</v>
      </c>
      <c r="P182" s="163">
        <f t="shared" si="24"/>
        <v>5032500000</v>
      </c>
      <c r="Q182" s="163" t="s">
        <v>636</v>
      </c>
      <c r="R182" s="115" t="s">
        <v>116</v>
      </c>
      <c r="S182" s="244"/>
      <c r="T182" s="28"/>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row>
    <row r="183" spans="1:53" s="60" customFormat="1" ht="47.25">
      <c r="A183" s="517"/>
      <c r="B183" s="514"/>
      <c r="C183" s="522" t="s">
        <v>1170</v>
      </c>
      <c r="D183" s="441" t="s">
        <v>704</v>
      </c>
      <c r="E183" s="456" t="s">
        <v>16</v>
      </c>
      <c r="F183" s="445">
        <v>0.5</v>
      </c>
      <c r="G183" s="115" t="s">
        <v>412</v>
      </c>
      <c r="H183" s="162">
        <v>240000000</v>
      </c>
      <c r="I183" s="256">
        <v>5</v>
      </c>
      <c r="J183" s="162">
        <v>240000000</v>
      </c>
      <c r="K183" s="162">
        <v>240000000</v>
      </c>
      <c r="L183" s="162">
        <v>240000000</v>
      </c>
      <c r="M183" s="162">
        <v>240000000</v>
      </c>
      <c r="N183" s="162">
        <v>240000000</v>
      </c>
      <c r="O183" s="85">
        <f t="shared" si="25"/>
        <v>2400000</v>
      </c>
      <c r="P183" s="163">
        <f t="shared" si="24"/>
        <v>1200000000</v>
      </c>
      <c r="Q183" s="163" t="s">
        <v>636</v>
      </c>
      <c r="R183" s="115" t="s">
        <v>116</v>
      </c>
      <c r="S183" s="244"/>
      <c r="T183" s="28"/>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s="60" customFormat="1" ht="51" customHeight="1">
      <c r="A184" s="517"/>
      <c r="B184" s="514"/>
      <c r="C184" s="448"/>
      <c r="D184" s="448"/>
      <c r="E184" s="474"/>
      <c r="F184" s="446"/>
      <c r="G184" s="115" t="s">
        <v>817</v>
      </c>
      <c r="H184" s="162">
        <v>26000000</v>
      </c>
      <c r="I184" s="256">
        <v>5</v>
      </c>
      <c r="J184" s="162">
        <f>H184</f>
        <v>26000000</v>
      </c>
      <c r="K184" s="162">
        <f>H184</f>
        <v>26000000</v>
      </c>
      <c r="L184" s="162">
        <f>H184</f>
        <v>26000000</v>
      </c>
      <c r="M184" s="162">
        <f>H184</f>
        <v>26000000</v>
      </c>
      <c r="N184" s="162">
        <f>H184</f>
        <v>26000000</v>
      </c>
      <c r="O184" s="85">
        <f>P184/500</f>
        <v>260000</v>
      </c>
      <c r="P184" s="163">
        <f>H184*I184</f>
        <v>130000000</v>
      </c>
      <c r="Q184" s="163" t="s">
        <v>633</v>
      </c>
      <c r="R184" s="115" t="s">
        <v>116</v>
      </c>
      <c r="S184" s="244"/>
      <c r="T184" s="28"/>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s="65" customFormat="1" ht="51" customHeight="1">
      <c r="A185" s="517"/>
      <c r="B185" s="514"/>
      <c r="C185" s="442"/>
      <c r="D185" s="442"/>
      <c r="E185" s="457"/>
      <c r="F185" s="447"/>
      <c r="G185" s="115" t="s">
        <v>816</v>
      </c>
      <c r="H185" s="162">
        <v>14000000</v>
      </c>
      <c r="I185" s="256">
        <v>5</v>
      </c>
      <c r="J185" s="162">
        <f>H185</f>
        <v>14000000</v>
      </c>
      <c r="K185" s="162">
        <f>H185</f>
        <v>14000000</v>
      </c>
      <c r="L185" s="162">
        <f>H185</f>
        <v>14000000</v>
      </c>
      <c r="M185" s="162">
        <f>H185</f>
        <v>14000000</v>
      </c>
      <c r="N185" s="162">
        <f>H185</f>
        <v>14000000</v>
      </c>
      <c r="O185" s="85">
        <f t="shared" si="25"/>
        <v>140000</v>
      </c>
      <c r="P185" s="163">
        <f t="shared" si="24"/>
        <v>70000000</v>
      </c>
      <c r="Q185" s="115" t="s">
        <v>818</v>
      </c>
      <c r="R185" s="115" t="s">
        <v>116</v>
      </c>
      <c r="S185" s="244"/>
      <c r="T185" s="28"/>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row>
    <row r="186" spans="1:53" s="65" customFormat="1" ht="234" customHeight="1">
      <c r="A186" s="517"/>
      <c r="B186" s="514"/>
      <c r="C186" s="441" t="s">
        <v>989</v>
      </c>
      <c r="D186" s="441" t="s">
        <v>120</v>
      </c>
      <c r="E186" s="456" t="s">
        <v>16</v>
      </c>
      <c r="F186" s="445">
        <v>0.6</v>
      </c>
      <c r="G186" s="332" t="s">
        <v>990</v>
      </c>
      <c r="H186" s="162">
        <v>1000000</v>
      </c>
      <c r="I186" s="284">
        <f>2500*3</f>
        <v>7500</v>
      </c>
      <c r="J186" s="162">
        <v>1500000000</v>
      </c>
      <c r="K186" s="162">
        <f>J186</f>
        <v>1500000000</v>
      </c>
      <c r="L186" s="162">
        <f>K186</f>
        <v>1500000000</v>
      </c>
      <c r="M186" s="162">
        <f>L186</f>
        <v>1500000000</v>
      </c>
      <c r="N186" s="162">
        <f>M186</f>
        <v>1500000000</v>
      </c>
      <c r="O186" s="85">
        <f t="shared" si="25"/>
        <v>15000000</v>
      </c>
      <c r="P186" s="163">
        <f t="shared" si="24"/>
        <v>7500000000</v>
      </c>
      <c r="Q186" s="115" t="s">
        <v>119</v>
      </c>
      <c r="R186" s="115" t="s">
        <v>116</v>
      </c>
      <c r="S186" s="333" t="s">
        <v>430</v>
      </c>
      <c r="T186" s="28"/>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row>
    <row r="187" spans="1:53" s="65" customFormat="1" ht="189.75" customHeight="1">
      <c r="A187" s="517"/>
      <c r="B187" s="514"/>
      <c r="C187" s="448"/>
      <c r="D187" s="448"/>
      <c r="E187" s="474"/>
      <c r="F187" s="446"/>
      <c r="G187" s="334" t="s">
        <v>425</v>
      </c>
      <c r="H187" s="162">
        <v>2050000</v>
      </c>
      <c r="I187" s="284">
        <f>125*4</f>
        <v>500</v>
      </c>
      <c r="J187" s="162">
        <f>125*H187</f>
        <v>256250000</v>
      </c>
      <c r="K187" s="162">
        <v>256250000</v>
      </c>
      <c r="L187" s="162">
        <v>256250000</v>
      </c>
      <c r="M187" s="162">
        <v>256250000</v>
      </c>
      <c r="N187" s="162"/>
      <c r="O187" s="85">
        <f>P187/500</f>
        <v>2050000</v>
      </c>
      <c r="P187" s="163">
        <f>H187*I187</f>
        <v>1025000000</v>
      </c>
      <c r="Q187" s="115" t="s">
        <v>119</v>
      </c>
      <c r="R187" s="115" t="s">
        <v>116</v>
      </c>
      <c r="S187" s="333" t="s">
        <v>431</v>
      </c>
      <c r="T187" s="28"/>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row>
    <row r="188" spans="1:53" s="65" customFormat="1" ht="142.5" customHeight="1">
      <c r="A188" s="517"/>
      <c r="B188" s="514"/>
      <c r="C188" s="448"/>
      <c r="D188" s="448"/>
      <c r="E188" s="474"/>
      <c r="F188" s="446"/>
      <c r="G188" s="258" t="s">
        <v>426</v>
      </c>
      <c r="H188" s="162">
        <v>700000</v>
      </c>
      <c r="I188" s="284">
        <f>250*4</f>
        <v>1000</v>
      </c>
      <c r="J188" s="162">
        <f>250*700000</f>
        <v>175000000</v>
      </c>
      <c r="K188" s="162">
        <f>250*700000</f>
        <v>175000000</v>
      </c>
      <c r="L188" s="162">
        <f>250*700000</f>
        <v>175000000</v>
      </c>
      <c r="M188" s="162">
        <f>250*700000</f>
        <v>175000000</v>
      </c>
      <c r="N188" s="162"/>
      <c r="O188" s="85">
        <f>P188/500</f>
        <v>1400000</v>
      </c>
      <c r="P188" s="163">
        <f>H188*I188</f>
        <v>700000000</v>
      </c>
      <c r="Q188" s="115" t="s">
        <v>119</v>
      </c>
      <c r="R188" s="115" t="s">
        <v>116</v>
      </c>
      <c r="S188" s="333" t="s">
        <v>432</v>
      </c>
      <c r="T188" s="28"/>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row>
    <row r="189" spans="1:53" s="65" customFormat="1" ht="31.5" customHeight="1">
      <c r="A189" s="517"/>
      <c r="B189" s="514"/>
      <c r="C189" s="448"/>
      <c r="D189" s="448"/>
      <c r="E189" s="474"/>
      <c r="F189" s="446"/>
      <c r="G189" s="258" t="s">
        <v>427</v>
      </c>
      <c r="H189" s="162">
        <v>550000</v>
      </c>
      <c r="I189" s="284">
        <f>75*4</f>
        <v>300</v>
      </c>
      <c r="J189" s="162">
        <f>75*H189</f>
        <v>41250000</v>
      </c>
      <c r="K189" s="162">
        <f>J189</f>
        <v>41250000</v>
      </c>
      <c r="L189" s="162">
        <f>K189</f>
        <v>41250000</v>
      </c>
      <c r="M189" s="162">
        <f>L189</f>
        <v>41250000</v>
      </c>
      <c r="N189" s="162"/>
      <c r="O189" s="85">
        <f>P189/500</f>
        <v>330000</v>
      </c>
      <c r="P189" s="163">
        <f>H189*I189</f>
        <v>165000000</v>
      </c>
      <c r="Q189" s="115" t="s">
        <v>119</v>
      </c>
      <c r="R189" s="115" t="s">
        <v>116</v>
      </c>
      <c r="S189" s="333" t="s">
        <v>433</v>
      </c>
      <c r="T189" s="28"/>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row>
    <row r="190" spans="1:53" s="65" customFormat="1" ht="91.5" customHeight="1">
      <c r="A190" s="517"/>
      <c r="B190" s="514"/>
      <c r="C190" s="448"/>
      <c r="D190" s="448"/>
      <c r="E190" s="457"/>
      <c r="F190" s="447"/>
      <c r="G190" s="335" t="s">
        <v>428</v>
      </c>
      <c r="H190" s="162">
        <v>0</v>
      </c>
      <c r="I190" s="256">
        <f>2000*5</f>
        <v>10000</v>
      </c>
      <c r="J190" s="162" t="s">
        <v>527</v>
      </c>
      <c r="K190" s="162" t="s">
        <v>527</v>
      </c>
      <c r="L190" s="162" t="s">
        <v>527</v>
      </c>
      <c r="M190" s="162" t="s">
        <v>527</v>
      </c>
      <c r="N190" s="162" t="s">
        <v>527</v>
      </c>
      <c r="O190" s="85">
        <f t="shared" si="25"/>
        <v>0</v>
      </c>
      <c r="P190" s="163">
        <f t="shared" si="24"/>
        <v>0</v>
      </c>
      <c r="Q190" s="115" t="s">
        <v>119</v>
      </c>
      <c r="R190" s="115" t="s">
        <v>116</v>
      </c>
      <c r="S190" s="333" t="s">
        <v>434</v>
      </c>
      <c r="T190" s="28"/>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row>
    <row r="191" spans="1:53" s="65" customFormat="1" ht="52.5" customHeight="1">
      <c r="A191" s="517"/>
      <c r="B191" s="514"/>
      <c r="C191" s="442"/>
      <c r="D191" s="442"/>
      <c r="E191" s="336"/>
      <c r="F191" s="337"/>
      <c r="G191" s="338" t="s">
        <v>429</v>
      </c>
      <c r="H191" s="162">
        <v>7000000</v>
      </c>
      <c r="I191" s="256">
        <f>(I186+I187+I188+I189+I190)/25</f>
        <v>772</v>
      </c>
      <c r="J191" s="162">
        <f>7000000*232</f>
        <v>1624000000</v>
      </c>
      <c r="K191" s="162">
        <f>7000000*232</f>
        <v>1624000000</v>
      </c>
      <c r="L191" s="162">
        <f>7000000*154</f>
        <v>1078000000</v>
      </c>
      <c r="M191" s="162">
        <f>7000000*77</f>
        <v>539000000</v>
      </c>
      <c r="N191" s="162">
        <f>7000000*77</f>
        <v>539000000</v>
      </c>
      <c r="O191" s="85">
        <f t="shared" si="25"/>
        <v>10808000</v>
      </c>
      <c r="P191" s="163">
        <f>H191*I191</f>
        <v>5404000000</v>
      </c>
      <c r="Q191" s="115" t="s">
        <v>119</v>
      </c>
      <c r="R191" s="115" t="s">
        <v>116</v>
      </c>
      <c r="S191" s="333" t="s">
        <v>435</v>
      </c>
      <c r="T191" s="28"/>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row>
    <row r="192" spans="1:53" s="65" customFormat="1" ht="119.25" customHeight="1">
      <c r="A192" s="517"/>
      <c r="B192" s="514"/>
      <c r="C192" s="441" t="s">
        <v>991</v>
      </c>
      <c r="D192" s="559" t="s">
        <v>121</v>
      </c>
      <c r="E192" s="562" t="s">
        <v>16</v>
      </c>
      <c r="F192" s="445">
        <v>0.5</v>
      </c>
      <c r="G192" s="334" t="s">
        <v>436</v>
      </c>
      <c r="H192" s="162">
        <v>1000000</v>
      </c>
      <c r="I192" s="256">
        <f>10*4</f>
        <v>40</v>
      </c>
      <c r="J192" s="162">
        <v>8000000</v>
      </c>
      <c r="K192" s="162">
        <v>8000000</v>
      </c>
      <c r="L192" s="162">
        <v>8000000</v>
      </c>
      <c r="M192" s="162">
        <v>8000000</v>
      </c>
      <c r="N192" s="162">
        <v>8000000</v>
      </c>
      <c r="O192" s="85">
        <f t="shared" si="25"/>
        <v>80000</v>
      </c>
      <c r="P192" s="163">
        <f t="shared" si="24"/>
        <v>40000000</v>
      </c>
      <c r="Q192" s="115" t="s">
        <v>119</v>
      </c>
      <c r="R192" s="115" t="s">
        <v>116</v>
      </c>
      <c r="S192" s="333" t="s">
        <v>446</v>
      </c>
      <c r="T192" s="28"/>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row>
    <row r="193" spans="1:53" s="65" customFormat="1" ht="148.5" customHeight="1">
      <c r="A193" s="517"/>
      <c r="B193" s="514"/>
      <c r="C193" s="448"/>
      <c r="D193" s="560"/>
      <c r="E193" s="563"/>
      <c r="F193" s="446"/>
      <c r="G193" s="339" t="s">
        <v>437</v>
      </c>
      <c r="H193" s="162">
        <v>4000000</v>
      </c>
      <c r="I193" s="256">
        <f>4</f>
        <v>4</v>
      </c>
      <c r="J193" s="162">
        <v>8000000</v>
      </c>
      <c r="K193" s="162"/>
      <c r="L193" s="162">
        <v>8000000</v>
      </c>
      <c r="M193" s="162"/>
      <c r="N193" s="162"/>
      <c r="O193" s="85">
        <f>P193/500</f>
        <v>32000</v>
      </c>
      <c r="P193" s="163">
        <f>H193*I193</f>
        <v>16000000</v>
      </c>
      <c r="Q193" s="115" t="s">
        <v>119</v>
      </c>
      <c r="R193" s="115" t="s">
        <v>116</v>
      </c>
      <c r="S193" s="333" t="s">
        <v>447</v>
      </c>
      <c r="T193" s="28"/>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row>
    <row r="194" spans="1:53" s="65" customFormat="1" ht="75.75" customHeight="1">
      <c r="A194" s="517"/>
      <c r="B194" s="514"/>
      <c r="C194" s="448"/>
      <c r="D194" s="560"/>
      <c r="E194" s="563"/>
      <c r="F194" s="446"/>
      <c r="G194" s="339" t="s">
        <v>497</v>
      </c>
      <c r="H194" s="162">
        <v>45000000</v>
      </c>
      <c r="I194" s="256">
        <f>2</f>
        <v>2</v>
      </c>
      <c r="J194" s="162">
        <v>45000000</v>
      </c>
      <c r="K194" s="162"/>
      <c r="L194" s="162">
        <v>45000000</v>
      </c>
      <c r="M194" s="162"/>
      <c r="N194" s="162"/>
      <c r="O194" s="85">
        <f>P194/500</f>
        <v>180000</v>
      </c>
      <c r="P194" s="163">
        <f>H194*I194</f>
        <v>90000000</v>
      </c>
      <c r="Q194" s="115" t="s">
        <v>119</v>
      </c>
      <c r="R194" s="115" t="s">
        <v>116</v>
      </c>
      <c r="S194" s="333" t="s">
        <v>448</v>
      </c>
      <c r="T194" s="28"/>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row>
    <row r="195" spans="1:53" s="65" customFormat="1" ht="83.25" customHeight="1">
      <c r="A195" s="517"/>
      <c r="B195" s="514"/>
      <c r="C195" s="448"/>
      <c r="D195" s="560"/>
      <c r="E195" s="563"/>
      <c r="F195" s="446"/>
      <c r="G195" s="334" t="s">
        <v>438</v>
      </c>
      <c r="H195" s="162">
        <v>1000000</v>
      </c>
      <c r="I195" s="256">
        <f>40</f>
        <v>40</v>
      </c>
      <c r="J195" s="162">
        <v>8000000</v>
      </c>
      <c r="K195" s="162">
        <v>8000000</v>
      </c>
      <c r="L195" s="162">
        <v>8000000</v>
      </c>
      <c r="M195" s="162">
        <v>8000000</v>
      </c>
      <c r="N195" s="162">
        <v>8000000</v>
      </c>
      <c r="O195" s="85">
        <f>P195/500</f>
        <v>80000</v>
      </c>
      <c r="P195" s="163">
        <f>H195*I195</f>
        <v>40000000</v>
      </c>
      <c r="Q195" s="115" t="s">
        <v>119</v>
      </c>
      <c r="R195" s="115" t="s">
        <v>116</v>
      </c>
      <c r="S195" s="333" t="s">
        <v>449</v>
      </c>
      <c r="T195" s="28"/>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row>
    <row r="196" spans="1:53" s="65" customFormat="1" ht="108.75" customHeight="1">
      <c r="A196" s="517"/>
      <c r="B196" s="514"/>
      <c r="C196" s="442"/>
      <c r="D196" s="561"/>
      <c r="E196" s="564"/>
      <c r="F196" s="447"/>
      <c r="G196" s="334" t="s">
        <v>439</v>
      </c>
      <c r="H196" s="162">
        <v>35000</v>
      </c>
      <c r="I196" s="256">
        <f>400</f>
        <v>400</v>
      </c>
      <c r="J196" s="162">
        <f>80*H196</f>
        <v>2800000</v>
      </c>
      <c r="K196" s="162">
        <v>2800000</v>
      </c>
      <c r="L196" s="162">
        <v>2800000</v>
      </c>
      <c r="M196" s="162">
        <v>2800000</v>
      </c>
      <c r="N196" s="162">
        <v>2800000</v>
      </c>
      <c r="O196" s="85">
        <f t="shared" si="25"/>
        <v>28000</v>
      </c>
      <c r="P196" s="163">
        <f t="shared" si="24"/>
        <v>14000000</v>
      </c>
      <c r="Q196" s="115" t="s">
        <v>119</v>
      </c>
      <c r="R196" s="115" t="s">
        <v>116</v>
      </c>
      <c r="S196" s="333" t="s">
        <v>450</v>
      </c>
      <c r="T196" s="28"/>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row>
    <row r="197" spans="1:53" s="65" customFormat="1" ht="92.25" customHeight="1">
      <c r="A197" s="517"/>
      <c r="B197" s="514"/>
      <c r="C197" s="441" t="s">
        <v>992</v>
      </c>
      <c r="D197" s="441" t="s">
        <v>122</v>
      </c>
      <c r="E197" s="478" t="s">
        <v>16</v>
      </c>
      <c r="F197" s="445">
        <v>0.5</v>
      </c>
      <c r="G197" s="258" t="s">
        <v>440</v>
      </c>
      <c r="H197" s="162">
        <v>1800000</v>
      </c>
      <c r="I197" s="256">
        <f>25*4</f>
        <v>100</v>
      </c>
      <c r="J197" s="162">
        <v>36000000</v>
      </c>
      <c r="K197" s="162">
        <v>36000000</v>
      </c>
      <c r="L197" s="162">
        <v>36000000</v>
      </c>
      <c r="M197" s="162">
        <v>36000000</v>
      </c>
      <c r="N197" s="162">
        <v>36000000</v>
      </c>
      <c r="O197" s="85">
        <f t="shared" si="25"/>
        <v>360000</v>
      </c>
      <c r="P197" s="163">
        <f t="shared" si="24"/>
        <v>180000000</v>
      </c>
      <c r="Q197" s="115" t="s">
        <v>119</v>
      </c>
      <c r="R197" s="115" t="s">
        <v>116</v>
      </c>
      <c r="S197" s="333" t="s">
        <v>451</v>
      </c>
      <c r="T197" s="28"/>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row>
    <row r="198" spans="1:53" s="65" customFormat="1" ht="65.25" customHeight="1">
      <c r="A198" s="517"/>
      <c r="B198" s="514"/>
      <c r="C198" s="448"/>
      <c r="D198" s="448"/>
      <c r="E198" s="479"/>
      <c r="F198" s="446"/>
      <c r="G198" s="334" t="s">
        <v>441</v>
      </c>
      <c r="H198" s="162">
        <v>35000</v>
      </c>
      <c r="I198" s="256">
        <f>25*4</f>
        <v>100</v>
      </c>
      <c r="J198" s="162">
        <f>3500000/5</f>
        <v>700000</v>
      </c>
      <c r="K198" s="162">
        <v>700000</v>
      </c>
      <c r="L198" s="162">
        <v>700000</v>
      </c>
      <c r="M198" s="162">
        <v>700000</v>
      </c>
      <c r="N198" s="162">
        <v>700000</v>
      </c>
      <c r="O198" s="85">
        <f>P198/500</f>
        <v>7000</v>
      </c>
      <c r="P198" s="163">
        <f>H198*I198</f>
        <v>3500000</v>
      </c>
      <c r="Q198" s="115" t="s">
        <v>119</v>
      </c>
      <c r="R198" s="115" t="s">
        <v>116</v>
      </c>
      <c r="S198" s="333" t="s">
        <v>452</v>
      </c>
      <c r="T198" s="28"/>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row>
    <row r="199" spans="1:53" s="65" customFormat="1" ht="65.25" customHeight="1">
      <c r="A199" s="517"/>
      <c r="B199" s="514"/>
      <c r="C199" s="448"/>
      <c r="D199" s="448"/>
      <c r="E199" s="479"/>
      <c r="F199" s="446"/>
      <c r="G199" s="334" t="s">
        <v>442</v>
      </c>
      <c r="H199" s="162">
        <v>150000</v>
      </c>
      <c r="I199" s="256">
        <f>25*4</f>
        <v>100</v>
      </c>
      <c r="J199" s="162">
        <v>3000000</v>
      </c>
      <c r="K199" s="162">
        <v>3000000</v>
      </c>
      <c r="L199" s="162">
        <v>3000000</v>
      </c>
      <c r="M199" s="162">
        <v>3000000</v>
      </c>
      <c r="N199" s="162">
        <v>3000000</v>
      </c>
      <c r="O199" s="85">
        <f>P199/500</f>
        <v>30000</v>
      </c>
      <c r="P199" s="163">
        <f>H199*I199</f>
        <v>15000000</v>
      </c>
      <c r="Q199" s="115" t="s">
        <v>119</v>
      </c>
      <c r="R199" s="115" t="s">
        <v>116</v>
      </c>
      <c r="S199" s="333" t="s">
        <v>453</v>
      </c>
      <c r="T199" s="28"/>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row>
    <row r="200" spans="1:53" s="65" customFormat="1" ht="65.25" customHeight="1">
      <c r="A200" s="517"/>
      <c r="B200" s="514"/>
      <c r="C200" s="442"/>
      <c r="D200" s="442"/>
      <c r="E200" s="558"/>
      <c r="F200" s="447"/>
      <c r="G200" s="340" t="s">
        <v>443</v>
      </c>
      <c r="H200" s="162">
        <v>5000000</v>
      </c>
      <c r="I200" s="256">
        <v>2</v>
      </c>
      <c r="J200" s="162">
        <v>5000000</v>
      </c>
      <c r="K200" s="162"/>
      <c r="L200" s="162">
        <v>5000000</v>
      </c>
      <c r="M200" s="162"/>
      <c r="N200" s="162"/>
      <c r="O200" s="85">
        <f>P200/500</f>
        <v>20000</v>
      </c>
      <c r="P200" s="163">
        <f>H200*I200</f>
        <v>10000000</v>
      </c>
      <c r="Q200" s="115" t="s">
        <v>119</v>
      </c>
      <c r="R200" s="115" t="s">
        <v>116</v>
      </c>
      <c r="S200" s="333" t="s">
        <v>454</v>
      </c>
      <c r="T200" s="28"/>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row>
    <row r="201" spans="1:53" s="65" customFormat="1" ht="69" customHeight="1">
      <c r="A201" s="517"/>
      <c r="B201" s="514"/>
      <c r="C201" s="441" t="s">
        <v>993</v>
      </c>
      <c r="D201" s="441" t="s">
        <v>123</v>
      </c>
      <c r="E201" s="467">
        <v>59000</v>
      </c>
      <c r="F201" s="467">
        <v>106000</v>
      </c>
      <c r="G201" s="334" t="s">
        <v>498</v>
      </c>
      <c r="H201" s="162">
        <v>0</v>
      </c>
      <c r="I201" s="256">
        <f>50*5</f>
        <v>250</v>
      </c>
      <c r="J201" s="162" t="s">
        <v>528</v>
      </c>
      <c r="K201" s="162" t="s">
        <v>528</v>
      </c>
      <c r="L201" s="162" t="s">
        <v>528</v>
      </c>
      <c r="M201" s="162" t="s">
        <v>528</v>
      </c>
      <c r="N201" s="162" t="s">
        <v>529</v>
      </c>
      <c r="O201" s="85">
        <f t="shared" si="25"/>
        <v>0</v>
      </c>
      <c r="P201" s="163">
        <f aca="true" t="shared" si="26" ref="P201:P209">H201*I201</f>
        <v>0</v>
      </c>
      <c r="Q201" s="115" t="s">
        <v>119</v>
      </c>
      <c r="R201" s="115" t="s">
        <v>116</v>
      </c>
      <c r="S201" s="333" t="s">
        <v>455</v>
      </c>
      <c r="T201" s="28"/>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row>
    <row r="202" spans="1:53" s="65" customFormat="1" ht="69" customHeight="1">
      <c r="A202" s="517"/>
      <c r="B202" s="514"/>
      <c r="C202" s="448"/>
      <c r="D202" s="448"/>
      <c r="E202" s="468"/>
      <c r="F202" s="468"/>
      <c r="G202" s="334" t="s">
        <v>444</v>
      </c>
      <c r="H202" s="162">
        <v>0</v>
      </c>
      <c r="I202" s="256">
        <f>50*5</f>
        <v>250</v>
      </c>
      <c r="J202" s="162" t="s">
        <v>530</v>
      </c>
      <c r="K202" s="162" t="s">
        <v>530</v>
      </c>
      <c r="L202" s="162" t="s">
        <v>530</v>
      </c>
      <c r="M202" s="162" t="s">
        <v>530</v>
      </c>
      <c r="N202" s="162" t="s">
        <v>530</v>
      </c>
      <c r="O202" s="85">
        <f>P202/500</f>
        <v>0</v>
      </c>
      <c r="P202" s="163">
        <f>H202*I202</f>
        <v>0</v>
      </c>
      <c r="Q202" s="115" t="s">
        <v>119</v>
      </c>
      <c r="R202" s="115" t="s">
        <v>116</v>
      </c>
      <c r="S202" s="333" t="s">
        <v>456</v>
      </c>
      <c r="T202" s="28"/>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row>
    <row r="203" spans="1:53" s="65" customFormat="1" ht="69" customHeight="1">
      <c r="A203" s="517"/>
      <c r="B203" s="514"/>
      <c r="C203" s="442"/>
      <c r="D203" s="442"/>
      <c r="E203" s="469"/>
      <c r="F203" s="469"/>
      <c r="G203" s="341" t="s">
        <v>445</v>
      </c>
      <c r="H203" s="162">
        <v>0</v>
      </c>
      <c r="I203" s="256">
        <v>50</v>
      </c>
      <c r="J203" s="162" t="s">
        <v>531</v>
      </c>
      <c r="K203" s="162" t="s">
        <v>532</v>
      </c>
      <c r="L203" s="162" t="s">
        <v>532</v>
      </c>
      <c r="M203" s="162" t="s">
        <v>532</v>
      </c>
      <c r="N203" s="162" t="s">
        <v>531</v>
      </c>
      <c r="O203" s="85">
        <f>P203/500</f>
        <v>0</v>
      </c>
      <c r="P203" s="163">
        <f>H203*I203</f>
        <v>0</v>
      </c>
      <c r="Q203" s="115" t="s">
        <v>119</v>
      </c>
      <c r="R203" s="115" t="s">
        <v>116</v>
      </c>
      <c r="S203" s="333" t="s">
        <v>457</v>
      </c>
      <c r="T203" s="28"/>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row>
    <row r="204" spans="1:53" s="66" customFormat="1" ht="107.25" customHeight="1">
      <c r="A204" s="517"/>
      <c r="B204" s="514"/>
      <c r="C204" s="441" t="s">
        <v>994</v>
      </c>
      <c r="D204" s="166" t="s">
        <v>124</v>
      </c>
      <c r="E204" s="257" t="s">
        <v>16</v>
      </c>
      <c r="F204" s="265">
        <v>1</v>
      </c>
      <c r="G204" s="166" t="s">
        <v>419</v>
      </c>
      <c r="H204" s="162">
        <v>0</v>
      </c>
      <c r="I204" s="284">
        <f>10000/25</f>
        <v>400</v>
      </c>
      <c r="J204" s="162" t="s">
        <v>533</v>
      </c>
      <c r="K204" s="162" t="s">
        <v>534</v>
      </c>
      <c r="L204" s="162" t="s">
        <v>535</v>
      </c>
      <c r="M204" s="162" t="s">
        <v>536</v>
      </c>
      <c r="N204" s="162"/>
      <c r="O204" s="85">
        <f t="shared" si="25"/>
        <v>0</v>
      </c>
      <c r="P204" s="163">
        <f t="shared" si="26"/>
        <v>0</v>
      </c>
      <c r="Q204" s="115" t="s">
        <v>638</v>
      </c>
      <c r="R204" s="115" t="s">
        <v>639</v>
      </c>
      <c r="S204" s="333"/>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row>
    <row r="205" spans="1:53" s="65" customFormat="1" ht="66" customHeight="1">
      <c r="A205" s="517"/>
      <c r="B205" s="514"/>
      <c r="C205" s="448"/>
      <c r="D205" s="441" t="s">
        <v>125</v>
      </c>
      <c r="E205" s="554" t="s">
        <v>16</v>
      </c>
      <c r="F205" s="445">
        <v>1</v>
      </c>
      <c r="G205" s="115" t="s">
        <v>460</v>
      </c>
      <c r="H205" s="162">
        <v>0</v>
      </c>
      <c r="I205" s="284">
        <v>10</v>
      </c>
      <c r="J205" s="162" t="s">
        <v>537</v>
      </c>
      <c r="K205" s="162" t="s">
        <v>537</v>
      </c>
      <c r="L205" s="162" t="s">
        <v>537</v>
      </c>
      <c r="M205" s="162" t="s">
        <v>537</v>
      </c>
      <c r="N205" s="162" t="s">
        <v>537</v>
      </c>
      <c r="O205" s="85">
        <f t="shared" si="25"/>
        <v>0</v>
      </c>
      <c r="P205" s="163">
        <f t="shared" si="26"/>
        <v>0</v>
      </c>
      <c r="Q205" s="115" t="s">
        <v>633</v>
      </c>
      <c r="R205" s="115" t="s">
        <v>640</v>
      </c>
      <c r="S205" s="333"/>
      <c r="T205" s="28"/>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row>
    <row r="206" spans="1:53" s="65" customFormat="1" ht="51.75" customHeight="1">
      <c r="A206" s="517"/>
      <c r="B206" s="514"/>
      <c r="C206" s="448"/>
      <c r="D206" s="448"/>
      <c r="E206" s="555"/>
      <c r="F206" s="446"/>
      <c r="G206" s="115" t="s">
        <v>461</v>
      </c>
      <c r="H206" s="162">
        <v>0</v>
      </c>
      <c r="I206" s="284">
        <v>1500</v>
      </c>
      <c r="J206" s="162" t="s">
        <v>538</v>
      </c>
      <c r="K206" s="162" t="s">
        <v>538</v>
      </c>
      <c r="L206" s="162" t="s">
        <v>539</v>
      </c>
      <c r="M206" s="162" t="s">
        <v>540</v>
      </c>
      <c r="N206" s="162" t="s">
        <v>541</v>
      </c>
      <c r="O206" s="85">
        <f t="shared" si="25"/>
        <v>0</v>
      </c>
      <c r="P206" s="163">
        <f t="shared" si="26"/>
        <v>0</v>
      </c>
      <c r="Q206" s="115" t="s">
        <v>119</v>
      </c>
      <c r="R206" s="115" t="s">
        <v>622</v>
      </c>
      <c r="S206" s="333"/>
      <c r="T206" s="28"/>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row>
    <row r="207" spans="1:53" s="65" customFormat="1" ht="51.75" customHeight="1">
      <c r="A207" s="517"/>
      <c r="B207" s="514"/>
      <c r="C207" s="448"/>
      <c r="D207" s="448"/>
      <c r="E207" s="555"/>
      <c r="F207" s="446"/>
      <c r="G207" s="115" t="s">
        <v>462</v>
      </c>
      <c r="H207" s="162">
        <v>0</v>
      </c>
      <c r="I207" s="256">
        <v>5</v>
      </c>
      <c r="J207" s="162" t="s">
        <v>542</v>
      </c>
      <c r="K207" s="162" t="s">
        <v>543</v>
      </c>
      <c r="L207" s="162" t="s">
        <v>542</v>
      </c>
      <c r="M207" s="162" t="s">
        <v>542</v>
      </c>
      <c r="N207" s="162" t="s">
        <v>542</v>
      </c>
      <c r="O207" s="85">
        <f t="shared" si="25"/>
        <v>0</v>
      </c>
      <c r="P207" s="163">
        <f t="shared" si="26"/>
        <v>0</v>
      </c>
      <c r="Q207" s="115" t="s">
        <v>119</v>
      </c>
      <c r="R207" s="115" t="s">
        <v>622</v>
      </c>
      <c r="S207" s="333"/>
      <c r="T207" s="28"/>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row>
    <row r="208" spans="1:53" s="65" customFormat="1" ht="51.75" customHeight="1">
      <c r="A208" s="517"/>
      <c r="B208" s="514"/>
      <c r="C208" s="448"/>
      <c r="D208" s="448"/>
      <c r="E208" s="555"/>
      <c r="F208" s="446"/>
      <c r="G208" s="334" t="s">
        <v>463</v>
      </c>
      <c r="H208" s="162">
        <v>250000000</v>
      </c>
      <c r="I208" s="284">
        <v>1</v>
      </c>
      <c r="J208" s="175">
        <v>50000000</v>
      </c>
      <c r="K208" s="175">
        <v>50000000</v>
      </c>
      <c r="L208" s="175">
        <v>50000000</v>
      </c>
      <c r="M208" s="175">
        <v>50000000</v>
      </c>
      <c r="N208" s="175">
        <v>50000000</v>
      </c>
      <c r="O208" s="85">
        <f t="shared" si="25"/>
        <v>500000</v>
      </c>
      <c r="P208" s="163">
        <f>H208*I208</f>
        <v>250000000</v>
      </c>
      <c r="Q208" s="115" t="s">
        <v>119</v>
      </c>
      <c r="R208" s="115" t="s">
        <v>622</v>
      </c>
      <c r="S208" s="333"/>
      <c r="T208" s="28"/>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row>
    <row r="209" spans="1:53" s="65" customFormat="1" ht="51.75" customHeight="1">
      <c r="A209" s="517"/>
      <c r="B209" s="515"/>
      <c r="C209" s="442"/>
      <c r="D209" s="442"/>
      <c r="E209" s="556"/>
      <c r="F209" s="447"/>
      <c r="G209" s="334" t="s">
        <v>464</v>
      </c>
      <c r="H209" s="162">
        <v>0</v>
      </c>
      <c r="I209" s="284">
        <v>5</v>
      </c>
      <c r="J209" s="175" t="s">
        <v>528</v>
      </c>
      <c r="K209" s="175" t="s">
        <v>528</v>
      </c>
      <c r="L209" s="175" t="s">
        <v>528</v>
      </c>
      <c r="M209" s="175" t="s">
        <v>528</v>
      </c>
      <c r="N209" s="175" t="s">
        <v>528</v>
      </c>
      <c r="O209" s="85">
        <f t="shared" si="25"/>
        <v>0</v>
      </c>
      <c r="P209" s="163">
        <f t="shared" si="26"/>
        <v>0</v>
      </c>
      <c r="Q209" s="115" t="s">
        <v>633</v>
      </c>
      <c r="R209" s="115" t="s">
        <v>622</v>
      </c>
      <c r="S209" s="244"/>
      <c r="T209" s="28"/>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row>
    <row r="210" spans="1:53" s="65" customFormat="1" ht="105" customHeight="1">
      <c r="A210" s="517"/>
      <c r="B210" s="565" t="s">
        <v>995</v>
      </c>
      <c r="C210" s="522" t="s">
        <v>996</v>
      </c>
      <c r="D210" s="441" t="s">
        <v>126</v>
      </c>
      <c r="E210" s="554" t="s">
        <v>16</v>
      </c>
      <c r="F210" s="445">
        <v>1</v>
      </c>
      <c r="G210" s="334" t="s">
        <v>465</v>
      </c>
      <c r="H210" s="328">
        <v>10000000</v>
      </c>
      <c r="I210" s="284">
        <v>5</v>
      </c>
      <c r="J210" s="162">
        <v>10000000</v>
      </c>
      <c r="K210" s="162">
        <v>10000000</v>
      </c>
      <c r="L210" s="162">
        <v>10000000</v>
      </c>
      <c r="M210" s="162">
        <v>10000000</v>
      </c>
      <c r="N210" s="162">
        <v>10000000</v>
      </c>
      <c r="O210" s="85">
        <f aca="true" t="shared" si="27" ref="O210:O215">P210/500</f>
        <v>100000</v>
      </c>
      <c r="P210" s="163">
        <f aca="true" t="shared" si="28" ref="P210:P215">H210*I210</f>
        <v>50000000</v>
      </c>
      <c r="Q210" s="115" t="s">
        <v>119</v>
      </c>
      <c r="R210" s="115" t="s">
        <v>622</v>
      </c>
      <c r="S210" s="333" t="s">
        <v>458</v>
      </c>
      <c r="T210" s="28"/>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row>
    <row r="211" spans="1:53" s="65" customFormat="1" ht="105" customHeight="1">
      <c r="A211" s="517"/>
      <c r="B211" s="529"/>
      <c r="C211" s="557"/>
      <c r="D211" s="442"/>
      <c r="E211" s="556"/>
      <c r="F211" s="447"/>
      <c r="G211" s="334" t="s">
        <v>466</v>
      </c>
      <c r="H211" s="328">
        <v>5000000</v>
      </c>
      <c r="I211" s="284">
        <v>4</v>
      </c>
      <c r="J211" s="162">
        <v>5000000</v>
      </c>
      <c r="K211" s="162">
        <v>5000000</v>
      </c>
      <c r="L211" s="162">
        <v>5000000</v>
      </c>
      <c r="M211" s="162">
        <v>5000000</v>
      </c>
      <c r="N211" s="162"/>
      <c r="O211" s="85">
        <f>P211/500</f>
        <v>40000</v>
      </c>
      <c r="P211" s="163">
        <f>H211*I211</f>
        <v>20000000</v>
      </c>
      <c r="Q211" s="115" t="s">
        <v>119</v>
      </c>
      <c r="R211" s="115" t="s">
        <v>622</v>
      </c>
      <c r="S211" s="333" t="s">
        <v>459</v>
      </c>
      <c r="T211" s="28"/>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row>
    <row r="212" spans="1:53" s="42" customFormat="1" ht="62.25" customHeight="1">
      <c r="A212" s="517"/>
      <c r="B212" s="553"/>
      <c r="C212" s="166" t="s">
        <v>997</v>
      </c>
      <c r="D212" s="115" t="s">
        <v>127</v>
      </c>
      <c r="E212" s="342" t="s">
        <v>16</v>
      </c>
      <c r="F212" s="265">
        <v>1</v>
      </c>
      <c r="G212" s="115" t="s">
        <v>819</v>
      </c>
      <c r="H212" s="163">
        <v>7000000</v>
      </c>
      <c r="I212" s="343">
        <f>(25*5)/25</f>
        <v>5</v>
      </c>
      <c r="J212" s="162">
        <v>14000000</v>
      </c>
      <c r="K212" s="162">
        <v>14000000</v>
      </c>
      <c r="L212" s="162">
        <v>7000000</v>
      </c>
      <c r="M212" s="162"/>
      <c r="N212" s="162"/>
      <c r="O212" s="85">
        <f t="shared" si="27"/>
        <v>70000</v>
      </c>
      <c r="P212" s="163">
        <f t="shared" si="28"/>
        <v>35000000</v>
      </c>
      <c r="Q212" s="115" t="s">
        <v>594</v>
      </c>
      <c r="R212" s="115" t="s">
        <v>641</v>
      </c>
      <c r="S212" s="244"/>
      <c r="T212" s="28"/>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row>
    <row r="213" spans="1:53" s="60" customFormat="1" ht="29.25" customHeight="1">
      <c r="A213" s="517"/>
      <c r="B213" s="565" t="s">
        <v>998</v>
      </c>
      <c r="C213" s="522" t="s">
        <v>999</v>
      </c>
      <c r="D213" s="441" t="s">
        <v>128</v>
      </c>
      <c r="E213" s="478" t="s">
        <v>16</v>
      </c>
      <c r="F213" s="445">
        <v>0.5</v>
      </c>
      <c r="G213" s="115" t="s">
        <v>467</v>
      </c>
      <c r="H213" s="162">
        <f>0</f>
        <v>0</v>
      </c>
      <c r="I213" s="284">
        <v>50</v>
      </c>
      <c r="J213" s="162" t="s">
        <v>544</v>
      </c>
      <c r="K213" s="162" t="s">
        <v>544</v>
      </c>
      <c r="L213" s="162" t="s">
        <v>532</v>
      </c>
      <c r="M213" s="162"/>
      <c r="N213" s="162"/>
      <c r="O213" s="85">
        <f t="shared" si="27"/>
        <v>0</v>
      </c>
      <c r="P213" s="163">
        <f t="shared" si="28"/>
        <v>0</v>
      </c>
      <c r="Q213" s="115" t="s">
        <v>633</v>
      </c>
      <c r="R213" s="115" t="s">
        <v>622</v>
      </c>
      <c r="S213" s="244"/>
      <c r="T213" s="28"/>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row>
    <row r="214" spans="1:53" s="60" customFormat="1" ht="63">
      <c r="A214" s="517"/>
      <c r="B214" s="529"/>
      <c r="C214" s="572"/>
      <c r="D214" s="448"/>
      <c r="E214" s="479"/>
      <c r="F214" s="446"/>
      <c r="G214" s="115" t="s">
        <v>129</v>
      </c>
      <c r="H214" s="162">
        <v>0</v>
      </c>
      <c r="I214" s="284">
        <v>5</v>
      </c>
      <c r="J214" s="162" t="s">
        <v>544</v>
      </c>
      <c r="K214" s="162" t="s">
        <v>531</v>
      </c>
      <c r="L214" s="162" t="s">
        <v>532</v>
      </c>
      <c r="M214" s="162"/>
      <c r="N214" s="162"/>
      <c r="O214" s="85">
        <f t="shared" si="27"/>
        <v>0</v>
      </c>
      <c r="P214" s="163">
        <f t="shared" si="28"/>
        <v>0</v>
      </c>
      <c r="Q214" s="115" t="s">
        <v>633</v>
      </c>
      <c r="R214" s="115" t="s">
        <v>622</v>
      </c>
      <c r="S214" s="244"/>
      <c r="T214" s="28"/>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row>
    <row r="215" spans="1:53" s="65" customFormat="1" ht="15.75">
      <c r="A215" s="517"/>
      <c r="B215" s="529"/>
      <c r="C215" s="572"/>
      <c r="D215" s="448"/>
      <c r="E215" s="479"/>
      <c r="F215" s="446"/>
      <c r="G215" s="115" t="s">
        <v>468</v>
      </c>
      <c r="H215" s="162">
        <v>0</v>
      </c>
      <c r="I215" s="284">
        <v>500</v>
      </c>
      <c r="J215" s="162" t="s">
        <v>545</v>
      </c>
      <c r="K215" s="162" t="s">
        <v>544</v>
      </c>
      <c r="L215" s="162" t="s">
        <v>532</v>
      </c>
      <c r="M215" s="162"/>
      <c r="N215" s="162"/>
      <c r="O215" s="85">
        <f t="shared" si="27"/>
        <v>0</v>
      </c>
      <c r="P215" s="163">
        <f t="shared" si="28"/>
        <v>0</v>
      </c>
      <c r="Q215" s="115" t="s">
        <v>119</v>
      </c>
      <c r="R215" s="115" t="s">
        <v>622</v>
      </c>
      <c r="S215" s="244"/>
      <c r="T215" s="28"/>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row>
    <row r="216" spans="1:53" s="60" customFormat="1" ht="47.25">
      <c r="A216" s="517"/>
      <c r="B216" s="529"/>
      <c r="C216" s="572"/>
      <c r="D216" s="448"/>
      <c r="E216" s="479"/>
      <c r="F216" s="446"/>
      <c r="G216" s="166" t="s">
        <v>469</v>
      </c>
      <c r="H216" s="162">
        <f>100000000/5</f>
        <v>20000000</v>
      </c>
      <c r="I216" s="284">
        <v>5</v>
      </c>
      <c r="J216" s="162">
        <v>20000000</v>
      </c>
      <c r="K216" s="162">
        <v>20000000</v>
      </c>
      <c r="L216" s="162">
        <v>20000000</v>
      </c>
      <c r="M216" s="162">
        <v>20000000</v>
      </c>
      <c r="N216" s="162">
        <v>20000000</v>
      </c>
      <c r="O216" s="85">
        <f>P216/500</f>
        <v>200000</v>
      </c>
      <c r="P216" s="163">
        <f>H216*I216</f>
        <v>100000000</v>
      </c>
      <c r="Q216" s="115" t="s">
        <v>633</v>
      </c>
      <c r="R216" s="115" t="s">
        <v>622</v>
      </c>
      <c r="S216" s="244"/>
      <c r="T216" s="28"/>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row>
    <row r="217" spans="1:53" s="60" customFormat="1" ht="60.75" customHeight="1">
      <c r="A217" s="517"/>
      <c r="B217" s="529"/>
      <c r="C217" s="166" t="s">
        <v>1000</v>
      </c>
      <c r="D217" s="166" t="s">
        <v>1001</v>
      </c>
      <c r="E217" s="280" t="s">
        <v>16</v>
      </c>
      <c r="F217" s="265">
        <v>0.5</v>
      </c>
      <c r="G217" s="441" t="s">
        <v>130</v>
      </c>
      <c r="H217" s="429" t="s">
        <v>28</v>
      </c>
      <c r="I217" s="439">
        <v>5</v>
      </c>
      <c r="J217" s="162"/>
      <c r="K217" s="162"/>
      <c r="L217" s="162"/>
      <c r="M217" s="162"/>
      <c r="N217" s="162"/>
      <c r="O217" s="85">
        <v>0</v>
      </c>
      <c r="P217" s="431">
        <v>0</v>
      </c>
      <c r="Q217" s="441"/>
      <c r="R217" s="441"/>
      <c r="S217" s="584"/>
      <c r="T217" s="28"/>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row>
    <row r="218" spans="1:53" s="60" customFormat="1" ht="66.75" customHeight="1">
      <c r="A218" s="517"/>
      <c r="B218" s="529"/>
      <c r="C218" s="166" t="s">
        <v>1002</v>
      </c>
      <c r="D218" s="166" t="s">
        <v>898</v>
      </c>
      <c r="E218" s="280" t="s">
        <v>16</v>
      </c>
      <c r="F218" s="265">
        <v>1</v>
      </c>
      <c r="G218" s="442"/>
      <c r="H218" s="430"/>
      <c r="I218" s="440"/>
      <c r="J218" s="175"/>
      <c r="K218" s="175"/>
      <c r="L218" s="175"/>
      <c r="M218" s="175"/>
      <c r="N218" s="175"/>
      <c r="O218" s="85"/>
      <c r="P218" s="432"/>
      <c r="Q218" s="442"/>
      <c r="R218" s="442"/>
      <c r="S218" s="585"/>
      <c r="T218" s="28"/>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row>
    <row r="219" spans="1:53" s="7" customFormat="1" ht="47.25">
      <c r="A219" s="517"/>
      <c r="B219" s="529"/>
      <c r="C219" s="121" t="s">
        <v>1003</v>
      </c>
      <c r="D219" s="166" t="s">
        <v>131</v>
      </c>
      <c r="E219" s="280" t="s">
        <v>96</v>
      </c>
      <c r="F219" s="265">
        <v>1</v>
      </c>
      <c r="G219" s="121" t="s">
        <v>132</v>
      </c>
      <c r="H219" s="162" t="s">
        <v>28</v>
      </c>
      <c r="I219" s="284" t="s">
        <v>28</v>
      </c>
      <c r="J219" s="162"/>
      <c r="K219" s="162"/>
      <c r="L219" s="162"/>
      <c r="M219" s="162"/>
      <c r="N219" s="162"/>
      <c r="O219" s="85"/>
      <c r="P219" s="163"/>
      <c r="Q219" s="115" t="s">
        <v>820</v>
      </c>
      <c r="R219" s="115" t="s">
        <v>821</v>
      </c>
      <c r="S219" s="244"/>
      <c r="T219" s="28"/>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row>
    <row r="220" spans="1:53" s="7" customFormat="1" ht="45" customHeight="1">
      <c r="A220" s="517"/>
      <c r="B220" s="529"/>
      <c r="C220" s="121" t="s">
        <v>1004</v>
      </c>
      <c r="D220" s="166" t="s">
        <v>133</v>
      </c>
      <c r="E220" s="280" t="s">
        <v>96</v>
      </c>
      <c r="F220" s="265">
        <v>1</v>
      </c>
      <c r="G220" s="121" t="s">
        <v>134</v>
      </c>
      <c r="H220" s="162" t="s">
        <v>28</v>
      </c>
      <c r="I220" s="284" t="s">
        <v>28</v>
      </c>
      <c r="J220" s="162"/>
      <c r="K220" s="162"/>
      <c r="L220" s="162"/>
      <c r="M220" s="162"/>
      <c r="N220" s="162"/>
      <c r="O220" s="85"/>
      <c r="P220" s="163"/>
      <c r="Q220" s="115" t="s">
        <v>820</v>
      </c>
      <c r="R220" s="115" t="s">
        <v>821</v>
      </c>
      <c r="S220" s="244"/>
      <c r="T220" s="28"/>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row>
    <row r="221" spans="1:53" s="65" customFormat="1" ht="84.75" customHeight="1">
      <c r="A221" s="518"/>
      <c r="B221" s="553"/>
      <c r="C221" s="121" t="s">
        <v>1005</v>
      </c>
      <c r="D221" s="166" t="s">
        <v>135</v>
      </c>
      <c r="E221" s="280" t="s">
        <v>16</v>
      </c>
      <c r="F221" s="265">
        <v>1</v>
      </c>
      <c r="G221" s="121" t="s">
        <v>409</v>
      </c>
      <c r="H221" s="162">
        <v>250000000</v>
      </c>
      <c r="I221" s="284">
        <v>4</v>
      </c>
      <c r="J221" s="162">
        <v>250000000</v>
      </c>
      <c r="K221" s="162">
        <v>250000000</v>
      </c>
      <c r="L221" s="162">
        <v>250000000</v>
      </c>
      <c r="M221" s="162">
        <v>250000000</v>
      </c>
      <c r="N221" s="162"/>
      <c r="O221" s="85">
        <f>P221/500</f>
        <v>2000000</v>
      </c>
      <c r="P221" s="163">
        <f>H221*I221</f>
        <v>1000000000</v>
      </c>
      <c r="Q221" s="115" t="s">
        <v>633</v>
      </c>
      <c r="R221" s="115" t="s">
        <v>642</v>
      </c>
      <c r="S221" s="244"/>
      <c r="T221" s="28"/>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row>
    <row r="222" spans="1:53" s="71" customFormat="1" ht="24.75" customHeight="1">
      <c r="A222" s="424" t="s">
        <v>562</v>
      </c>
      <c r="B222" s="425"/>
      <c r="C222" s="425"/>
      <c r="D222" s="425"/>
      <c r="E222" s="425"/>
      <c r="F222" s="425"/>
      <c r="G222" s="425"/>
      <c r="H222" s="426"/>
      <c r="I222" s="344"/>
      <c r="J222" s="174">
        <f>SUM(J175:J221)</f>
        <v>11605850000</v>
      </c>
      <c r="K222" s="174">
        <f>SUM(K175:K221)</f>
        <v>15145900000</v>
      </c>
      <c r="L222" s="174">
        <f>SUM(L175:L221)</f>
        <v>10988750000</v>
      </c>
      <c r="M222" s="174">
        <f>SUM(M175:M221)</f>
        <v>9064500000</v>
      </c>
      <c r="N222" s="174">
        <f>SUM(N175:N221)</f>
        <v>3874000000</v>
      </c>
      <c r="O222" s="76"/>
      <c r="P222" s="320">
        <f>SUM(P175:P221)</f>
        <v>50679000000</v>
      </c>
      <c r="Q222" s="321"/>
      <c r="R222" s="345"/>
      <c r="S222" s="346"/>
      <c r="T222" s="223"/>
      <c r="U222" s="224"/>
      <c r="V222" s="224"/>
      <c r="W222" s="224"/>
      <c r="X222" s="224"/>
      <c r="Y222" s="224"/>
      <c r="Z222" s="224"/>
      <c r="AA222" s="224"/>
      <c r="AB222" s="224"/>
      <c r="AC222" s="224"/>
      <c r="AD222" s="224"/>
      <c r="AE222" s="224"/>
      <c r="AF222" s="224"/>
      <c r="AG222" s="224"/>
      <c r="AH222" s="224"/>
      <c r="AI222" s="224"/>
      <c r="AJ222" s="224"/>
      <c r="AK222" s="224"/>
      <c r="AL222" s="224"/>
      <c r="AM222" s="224"/>
      <c r="AN222" s="224"/>
      <c r="AO222" s="224"/>
      <c r="AP222" s="224"/>
      <c r="AQ222" s="224"/>
      <c r="AR222" s="224"/>
      <c r="AS222" s="224"/>
      <c r="AT222" s="224"/>
      <c r="AU222" s="224"/>
      <c r="AV222" s="224"/>
      <c r="AW222" s="224"/>
      <c r="AX222" s="224"/>
      <c r="AY222" s="224"/>
      <c r="AZ222" s="224"/>
      <c r="BA222" s="224"/>
    </row>
    <row r="223" spans="1:53" s="7" customFormat="1" ht="62.25" customHeight="1">
      <c r="A223" s="531" t="s">
        <v>1006</v>
      </c>
      <c r="B223" s="441" t="s">
        <v>1007</v>
      </c>
      <c r="C223" s="471" t="s">
        <v>1008</v>
      </c>
      <c r="D223" s="115" t="s">
        <v>136</v>
      </c>
      <c r="E223" s="265">
        <v>0.1</v>
      </c>
      <c r="F223" s="265">
        <v>0.5</v>
      </c>
      <c r="G223" s="115" t="s">
        <v>659</v>
      </c>
      <c r="H223" s="162">
        <v>7000000</v>
      </c>
      <c r="I223" s="284">
        <f>15*3</f>
        <v>45</v>
      </c>
      <c r="J223" s="162">
        <f>15*7000000</f>
        <v>105000000</v>
      </c>
      <c r="K223" s="162">
        <f>15*7000000</f>
        <v>105000000</v>
      </c>
      <c r="L223" s="162">
        <f>15*7000000</f>
        <v>105000000</v>
      </c>
      <c r="M223" s="162"/>
      <c r="N223" s="162"/>
      <c r="O223" s="85">
        <f>P223/500</f>
        <v>630000</v>
      </c>
      <c r="P223" s="347">
        <f>H223*I223</f>
        <v>315000000</v>
      </c>
      <c r="Q223" s="252" t="s">
        <v>637</v>
      </c>
      <c r="R223" s="252" t="s">
        <v>643</v>
      </c>
      <c r="S223" s="310"/>
      <c r="T223" s="28"/>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row>
    <row r="224" spans="1:53" s="7" customFormat="1" ht="38.25" customHeight="1">
      <c r="A224" s="532"/>
      <c r="B224" s="448"/>
      <c r="C224" s="472"/>
      <c r="D224" s="115" t="s">
        <v>137</v>
      </c>
      <c r="E224" s="257" t="s">
        <v>138</v>
      </c>
      <c r="F224" s="257" t="s">
        <v>139</v>
      </c>
      <c r="G224" s="441" t="s">
        <v>410</v>
      </c>
      <c r="H224" s="429">
        <f>0</f>
        <v>0</v>
      </c>
      <c r="I224" s="443">
        <v>10</v>
      </c>
      <c r="J224" s="429" t="s">
        <v>546</v>
      </c>
      <c r="K224" s="429" t="s">
        <v>547</v>
      </c>
      <c r="L224" s="429" t="s">
        <v>546</v>
      </c>
      <c r="M224" s="429"/>
      <c r="N224" s="429"/>
      <c r="O224" s="499">
        <f>P224/500</f>
        <v>0</v>
      </c>
      <c r="P224" s="574">
        <f>H224*I224</f>
        <v>0</v>
      </c>
      <c r="Q224" s="483"/>
      <c r="R224" s="483"/>
      <c r="S224" s="310"/>
      <c r="T224" s="28"/>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row>
    <row r="225" spans="1:53" s="7" customFormat="1" ht="24.75" customHeight="1">
      <c r="A225" s="532"/>
      <c r="B225" s="448"/>
      <c r="C225" s="473"/>
      <c r="D225" s="115" t="s">
        <v>140</v>
      </c>
      <c r="E225" s="265">
        <v>0.3</v>
      </c>
      <c r="F225" s="265">
        <v>0.1</v>
      </c>
      <c r="G225" s="448"/>
      <c r="H225" s="449"/>
      <c r="I225" s="509"/>
      <c r="J225" s="449"/>
      <c r="K225" s="449"/>
      <c r="L225" s="449"/>
      <c r="M225" s="449"/>
      <c r="N225" s="449"/>
      <c r="O225" s="573"/>
      <c r="P225" s="575"/>
      <c r="Q225" s="504"/>
      <c r="R225" s="504"/>
      <c r="S225" s="310"/>
      <c r="T225" s="28"/>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row>
    <row r="226" spans="1:53" s="7" customFormat="1" ht="33.75" customHeight="1">
      <c r="A226" s="532"/>
      <c r="B226" s="448"/>
      <c r="C226" s="471" t="s">
        <v>1009</v>
      </c>
      <c r="D226" s="115" t="s">
        <v>141</v>
      </c>
      <c r="E226" s="257" t="s">
        <v>16</v>
      </c>
      <c r="F226" s="265">
        <v>0.1</v>
      </c>
      <c r="G226" s="448"/>
      <c r="H226" s="449"/>
      <c r="I226" s="509"/>
      <c r="J226" s="449"/>
      <c r="K226" s="449"/>
      <c r="L226" s="449"/>
      <c r="M226" s="449"/>
      <c r="N226" s="449"/>
      <c r="O226" s="573"/>
      <c r="P226" s="575"/>
      <c r="Q226" s="504"/>
      <c r="R226" s="504"/>
      <c r="S226" s="310"/>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row>
    <row r="227" spans="1:53" s="7" customFormat="1" ht="50.25" customHeight="1">
      <c r="A227" s="532"/>
      <c r="B227" s="448"/>
      <c r="C227" s="472"/>
      <c r="D227" s="166" t="s">
        <v>142</v>
      </c>
      <c r="E227" s="280" t="s">
        <v>16</v>
      </c>
      <c r="F227" s="265">
        <v>0.5</v>
      </c>
      <c r="G227" s="442"/>
      <c r="H227" s="430"/>
      <c r="I227" s="444"/>
      <c r="J227" s="430"/>
      <c r="K227" s="430"/>
      <c r="L227" s="430"/>
      <c r="M227" s="430"/>
      <c r="N227" s="430"/>
      <c r="O227" s="500"/>
      <c r="P227" s="576"/>
      <c r="Q227" s="484"/>
      <c r="R227" s="484"/>
      <c r="S227" s="310"/>
      <c r="T227" s="28"/>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row>
    <row r="228" spans="1:53" s="7" customFormat="1" ht="50.25" customHeight="1">
      <c r="A228" s="532"/>
      <c r="B228" s="448"/>
      <c r="C228" s="473"/>
      <c r="D228" s="166" t="s">
        <v>484</v>
      </c>
      <c r="E228" s="348" t="s">
        <v>16</v>
      </c>
      <c r="F228" s="349">
        <v>0.5</v>
      </c>
      <c r="G228" s="334" t="s">
        <v>485</v>
      </c>
      <c r="H228" s="350">
        <v>150000000</v>
      </c>
      <c r="I228" s="351">
        <v>1</v>
      </c>
      <c r="J228" s="175">
        <v>150000000</v>
      </c>
      <c r="K228" s="175">
        <v>0</v>
      </c>
      <c r="L228" s="175">
        <v>0</v>
      </c>
      <c r="M228" s="175">
        <v>0</v>
      </c>
      <c r="N228" s="175">
        <v>0</v>
      </c>
      <c r="O228" s="85">
        <f aca="true" t="shared" si="29" ref="O228:O234">P228/500</f>
        <v>300000</v>
      </c>
      <c r="P228" s="347">
        <f aca="true" t="shared" si="30" ref="P228:P233">H228*I228</f>
        <v>150000000</v>
      </c>
      <c r="Q228" s="352" t="s">
        <v>645</v>
      </c>
      <c r="R228" s="352" t="s">
        <v>1010</v>
      </c>
      <c r="S228" s="310"/>
      <c r="T228" s="28"/>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row>
    <row r="229" spans="1:53" s="7" customFormat="1" ht="78.75" customHeight="1">
      <c r="A229" s="532"/>
      <c r="B229" s="448"/>
      <c r="C229" s="353" t="s">
        <v>1011</v>
      </c>
      <c r="D229" s="166" t="s">
        <v>143</v>
      </c>
      <c r="E229" s="257">
        <v>1</v>
      </c>
      <c r="F229" s="257">
        <v>5</v>
      </c>
      <c r="G229" s="115" t="s">
        <v>411</v>
      </c>
      <c r="H229" s="162">
        <v>1000000000</v>
      </c>
      <c r="I229" s="284">
        <v>5</v>
      </c>
      <c r="J229" s="162">
        <v>1000000000</v>
      </c>
      <c r="K229" s="162">
        <v>1000000000</v>
      </c>
      <c r="L229" s="162">
        <v>1000000000</v>
      </c>
      <c r="M229" s="162">
        <v>1000000000</v>
      </c>
      <c r="N229" s="162">
        <v>1000000000</v>
      </c>
      <c r="O229" s="85">
        <f t="shared" si="29"/>
        <v>10000000</v>
      </c>
      <c r="P229" s="347">
        <f t="shared" si="30"/>
        <v>5000000000</v>
      </c>
      <c r="Q229" s="352" t="s">
        <v>644</v>
      </c>
      <c r="R229" s="252" t="s">
        <v>646</v>
      </c>
      <c r="S229" s="205"/>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row>
    <row r="230" spans="1:53" s="7" customFormat="1" ht="56.25" customHeight="1">
      <c r="A230" s="532"/>
      <c r="B230" s="448"/>
      <c r="C230" s="566" t="s">
        <v>1012</v>
      </c>
      <c r="D230" s="569" t="s">
        <v>145</v>
      </c>
      <c r="E230" s="456">
        <v>1</v>
      </c>
      <c r="F230" s="456">
        <v>5</v>
      </c>
      <c r="G230" s="334" t="s">
        <v>487</v>
      </c>
      <c r="H230" s="354">
        <v>3000000</v>
      </c>
      <c r="I230" s="355">
        <v>50</v>
      </c>
      <c r="J230" s="173">
        <v>30000000</v>
      </c>
      <c r="K230" s="173">
        <v>30000000</v>
      </c>
      <c r="L230" s="173">
        <v>30000000</v>
      </c>
      <c r="M230" s="173">
        <v>30000000</v>
      </c>
      <c r="N230" s="173">
        <v>30000000</v>
      </c>
      <c r="O230" s="85">
        <f t="shared" si="29"/>
        <v>300000</v>
      </c>
      <c r="P230" s="347">
        <f t="shared" si="30"/>
        <v>150000000</v>
      </c>
      <c r="Q230" s="252" t="s">
        <v>634</v>
      </c>
      <c r="R230" s="252" t="s">
        <v>622</v>
      </c>
      <c r="S230" s="310"/>
      <c r="T230" s="28"/>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row>
    <row r="231" spans="1:53" s="7" customFormat="1" ht="56.25" customHeight="1">
      <c r="A231" s="532"/>
      <c r="B231" s="448"/>
      <c r="C231" s="567"/>
      <c r="D231" s="570"/>
      <c r="E231" s="474"/>
      <c r="F231" s="474"/>
      <c r="G231" s="334" t="s">
        <v>488</v>
      </c>
      <c r="H231" s="354">
        <v>10000000</v>
      </c>
      <c r="I231" s="355">
        <v>50</v>
      </c>
      <c r="J231" s="173">
        <v>100000000</v>
      </c>
      <c r="K231" s="173">
        <v>100000000</v>
      </c>
      <c r="L231" s="173">
        <v>100000000</v>
      </c>
      <c r="M231" s="173">
        <v>100000000</v>
      </c>
      <c r="N231" s="173">
        <v>100000000</v>
      </c>
      <c r="O231" s="85">
        <f t="shared" si="29"/>
        <v>1000000</v>
      </c>
      <c r="P231" s="347">
        <f t="shared" si="30"/>
        <v>500000000</v>
      </c>
      <c r="Q231" s="252" t="s">
        <v>119</v>
      </c>
      <c r="R231" s="252" t="s">
        <v>626</v>
      </c>
      <c r="S231" s="356"/>
      <c r="T231" s="28"/>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row>
    <row r="232" spans="1:53" s="7" customFormat="1" ht="56.25" customHeight="1">
      <c r="A232" s="532"/>
      <c r="B232" s="448"/>
      <c r="C232" s="567"/>
      <c r="D232" s="570"/>
      <c r="E232" s="474"/>
      <c r="F232" s="474"/>
      <c r="G232" s="334" t="s">
        <v>1013</v>
      </c>
      <c r="H232" s="354">
        <v>10000000</v>
      </c>
      <c r="I232" s="355">
        <v>10</v>
      </c>
      <c r="J232" s="173">
        <v>30000000</v>
      </c>
      <c r="K232" s="173">
        <v>30000000</v>
      </c>
      <c r="L232" s="173">
        <v>20000000</v>
      </c>
      <c r="M232" s="173">
        <v>20000000</v>
      </c>
      <c r="N232" s="173"/>
      <c r="O232" s="85">
        <f t="shared" si="29"/>
        <v>200000</v>
      </c>
      <c r="P232" s="347">
        <f t="shared" si="30"/>
        <v>100000000</v>
      </c>
      <c r="Q232" s="252" t="s">
        <v>119</v>
      </c>
      <c r="R232" s="252" t="s">
        <v>626</v>
      </c>
      <c r="S232" s="356"/>
      <c r="T232" s="28"/>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row>
    <row r="233" spans="1:53" s="7" customFormat="1" ht="56.25" customHeight="1">
      <c r="A233" s="533"/>
      <c r="B233" s="442"/>
      <c r="C233" s="568"/>
      <c r="D233" s="571"/>
      <c r="E233" s="457"/>
      <c r="F233" s="457"/>
      <c r="G233" s="334" t="s">
        <v>486</v>
      </c>
      <c r="H233" s="354">
        <f>0</f>
        <v>0</v>
      </c>
      <c r="I233" s="355">
        <f>5*5</f>
        <v>25</v>
      </c>
      <c r="J233" s="173" t="s">
        <v>542</v>
      </c>
      <c r="K233" s="173" t="s">
        <v>542</v>
      </c>
      <c r="L233" s="173" t="s">
        <v>542</v>
      </c>
      <c r="M233" s="173" t="s">
        <v>548</v>
      </c>
      <c r="N233" s="173" t="s">
        <v>543</v>
      </c>
      <c r="O233" s="85">
        <f t="shared" si="29"/>
        <v>0</v>
      </c>
      <c r="P233" s="347">
        <f t="shared" si="30"/>
        <v>0</v>
      </c>
      <c r="Q233" s="252" t="s">
        <v>119</v>
      </c>
      <c r="R233" s="252" t="s">
        <v>626</v>
      </c>
      <c r="S233" s="356"/>
      <c r="T233" s="28"/>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row>
    <row r="234" spans="1:53" s="71" customFormat="1" ht="27.75" customHeight="1">
      <c r="A234" s="424" t="s">
        <v>563</v>
      </c>
      <c r="B234" s="520"/>
      <c r="C234" s="520"/>
      <c r="D234" s="520"/>
      <c r="E234" s="520"/>
      <c r="F234" s="520"/>
      <c r="G234" s="521"/>
      <c r="H234" s="174"/>
      <c r="I234" s="357"/>
      <c r="J234" s="176">
        <f>SUM(J223:J233)</f>
        <v>1415000000</v>
      </c>
      <c r="K234" s="176">
        <f>SUM(K223:K233)</f>
        <v>1265000000</v>
      </c>
      <c r="L234" s="176">
        <f>SUM(L223:L233)</f>
        <v>1255000000</v>
      </c>
      <c r="M234" s="176">
        <f>SUM(M223:M233)</f>
        <v>1150000000</v>
      </c>
      <c r="N234" s="176">
        <f>SUM(N223:N233)</f>
        <v>1130000000</v>
      </c>
      <c r="O234" s="76">
        <f t="shared" si="29"/>
        <v>12430000</v>
      </c>
      <c r="P234" s="320">
        <f>SUM(P223:P233)</f>
        <v>6215000000</v>
      </c>
      <c r="Q234" s="321"/>
      <c r="R234" s="345"/>
      <c r="S234" s="358"/>
      <c r="T234" s="223"/>
      <c r="U234" s="224"/>
      <c r="V234" s="224"/>
      <c r="W234" s="224"/>
      <c r="X234" s="224"/>
      <c r="Y234" s="224"/>
      <c r="Z234" s="224"/>
      <c r="AA234" s="224"/>
      <c r="AB234" s="224"/>
      <c r="AC234" s="224"/>
      <c r="AD234" s="224"/>
      <c r="AE234" s="224"/>
      <c r="AF234" s="224"/>
      <c r="AG234" s="224"/>
      <c r="AH234" s="224"/>
      <c r="AI234" s="224"/>
      <c r="AJ234" s="224"/>
      <c r="AK234" s="224"/>
      <c r="AL234" s="224"/>
      <c r="AM234" s="224"/>
      <c r="AN234" s="224"/>
      <c r="AO234" s="224"/>
      <c r="AP234" s="224"/>
      <c r="AQ234" s="224"/>
      <c r="AR234" s="224"/>
      <c r="AS234" s="224"/>
      <c r="AT234" s="224"/>
      <c r="AU234" s="224"/>
      <c r="AV234" s="224"/>
      <c r="AW234" s="224"/>
      <c r="AX234" s="224"/>
      <c r="AY234" s="224"/>
      <c r="AZ234" s="224"/>
      <c r="BA234" s="224"/>
    </row>
    <row r="235" spans="1:53" ht="15.75">
      <c r="A235" s="578" t="s">
        <v>76</v>
      </c>
      <c r="B235" s="579"/>
      <c r="C235" s="579"/>
      <c r="D235" s="580"/>
      <c r="E235" s="359"/>
      <c r="F235" s="359"/>
      <c r="G235" s="360"/>
      <c r="H235" s="323"/>
      <c r="I235" s="323"/>
      <c r="J235" s="177">
        <f>SUM(J175:J221)+SUM(J223:J233)</f>
        <v>13020850000</v>
      </c>
      <c r="K235" s="177">
        <f>SUM(K175:K221)+SUM(K223:K233)</f>
        <v>16410900000</v>
      </c>
      <c r="L235" s="177">
        <f>SUM(L175:L221)+SUM(L223:L233)</f>
        <v>12243750000</v>
      </c>
      <c r="M235" s="177">
        <f>SUM(M175:M221)+SUM(M223:M233)</f>
        <v>10214500000</v>
      </c>
      <c r="N235" s="177">
        <f>SUM(N175:N221)+SUM(N223:N233)</f>
        <v>5004000000</v>
      </c>
      <c r="O235" s="177">
        <f>P235/500</f>
        <v>113788000</v>
      </c>
      <c r="P235" s="177">
        <f>SUM(P175:P221)+SUM(P223:P233)</f>
        <v>56894000000</v>
      </c>
      <c r="Q235" s="361">
        <v>235</v>
      </c>
      <c r="R235" s="324"/>
      <c r="S235" s="362"/>
      <c r="T235" s="3"/>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1:53" ht="15.75">
      <c r="A236" s="523" t="s">
        <v>1014</v>
      </c>
      <c r="B236" s="524"/>
      <c r="C236" s="524"/>
      <c r="D236" s="524"/>
      <c r="E236" s="524"/>
      <c r="F236" s="524"/>
      <c r="G236" s="524"/>
      <c r="H236" s="524"/>
      <c r="I236" s="524"/>
      <c r="J236" s="524"/>
      <c r="K236" s="524"/>
      <c r="L236" s="524"/>
      <c r="M236" s="524"/>
      <c r="N236" s="524"/>
      <c r="O236" s="524"/>
      <c r="P236" s="524"/>
      <c r="Q236" s="524"/>
      <c r="R236" s="524"/>
      <c r="S236" s="552"/>
      <c r="T236" s="28"/>
      <c r="U236" s="3"/>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1:53" s="68" customFormat="1" ht="31.5" customHeight="1">
      <c r="A237" s="581" t="s">
        <v>1015</v>
      </c>
      <c r="B237" s="483" t="s">
        <v>1016</v>
      </c>
      <c r="C237" s="441" t="s">
        <v>1017</v>
      </c>
      <c r="D237" s="166" t="s">
        <v>146</v>
      </c>
      <c r="E237" s="280">
        <v>0</v>
      </c>
      <c r="F237" s="257">
        <v>1</v>
      </c>
      <c r="G237" s="441" t="s">
        <v>147</v>
      </c>
      <c r="H237" s="431">
        <v>14000000</v>
      </c>
      <c r="I237" s="443">
        <v>5</v>
      </c>
      <c r="J237" s="429">
        <v>14000000</v>
      </c>
      <c r="K237" s="429">
        <v>14000000</v>
      </c>
      <c r="L237" s="429">
        <v>14000000</v>
      </c>
      <c r="M237" s="429">
        <v>14000000</v>
      </c>
      <c r="N237" s="429">
        <v>14000000</v>
      </c>
      <c r="O237" s="499">
        <f>P237/500</f>
        <v>140000</v>
      </c>
      <c r="P237" s="431">
        <f>N237+M237+L237+K237+J237</f>
        <v>70000000</v>
      </c>
      <c r="Q237" s="441" t="s">
        <v>674</v>
      </c>
      <c r="R237" s="441"/>
      <c r="S237" s="244"/>
      <c r="T237" s="28"/>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row>
    <row r="238" spans="1:53" s="68" customFormat="1" ht="22.5" customHeight="1">
      <c r="A238" s="582"/>
      <c r="B238" s="504"/>
      <c r="C238" s="448"/>
      <c r="D238" s="463" t="s">
        <v>148</v>
      </c>
      <c r="E238" s="478">
        <v>0</v>
      </c>
      <c r="F238" s="445">
        <v>0.5</v>
      </c>
      <c r="G238" s="448"/>
      <c r="H238" s="577"/>
      <c r="I238" s="509"/>
      <c r="J238" s="449"/>
      <c r="K238" s="449"/>
      <c r="L238" s="449"/>
      <c r="M238" s="449"/>
      <c r="N238" s="449"/>
      <c r="O238" s="573"/>
      <c r="P238" s="577"/>
      <c r="Q238" s="448"/>
      <c r="R238" s="448"/>
      <c r="S238" s="244"/>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row>
    <row r="239" spans="1:53" s="68" customFormat="1" ht="29.25" customHeight="1">
      <c r="A239" s="582"/>
      <c r="B239" s="504"/>
      <c r="C239" s="442"/>
      <c r="D239" s="428"/>
      <c r="E239" s="558"/>
      <c r="F239" s="447"/>
      <c r="G239" s="442"/>
      <c r="H239" s="432"/>
      <c r="I239" s="444"/>
      <c r="J239" s="430"/>
      <c r="K239" s="430"/>
      <c r="L239" s="430"/>
      <c r="M239" s="430"/>
      <c r="N239" s="430"/>
      <c r="O239" s="500"/>
      <c r="P239" s="432"/>
      <c r="Q239" s="442"/>
      <c r="R239" s="442"/>
      <c r="S239" s="244"/>
      <c r="T239" s="28"/>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row>
    <row r="240" spans="1:53" s="7" customFormat="1" ht="36.75" customHeight="1">
      <c r="A240" s="582"/>
      <c r="B240" s="504"/>
      <c r="C240" s="522" t="s">
        <v>1018</v>
      </c>
      <c r="D240" s="363" t="s">
        <v>149</v>
      </c>
      <c r="E240" s="280">
        <v>0</v>
      </c>
      <c r="F240" s="257">
        <v>1</v>
      </c>
      <c r="G240" s="478"/>
      <c r="H240" s="431">
        <v>0</v>
      </c>
      <c r="I240" s="443">
        <v>0</v>
      </c>
      <c r="J240" s="588" t="s">
        <v>528</v>
      </c>
      <c r="K240" s="588" t="s">
        <v>529</v>
      </c>
      <c r="L240" s="588" t="s">
        <v>529</v>
      </c>
      <c r="M240" s="588" t="s">
        <v>528</v>
      </c>
      <c r="N240" s="588" t="s">
        <v>528</v>
      </c>
      <c r="O240" s="586">
        <v>0</v>
      </c>
      <c r="P240" s="574">
        <v>0</v>
      </c>
      <c r="Q240" s="483" t="s">
        <v>512</v>
      </c>
      <c r="R240" s="252"/>
      <c r="S240" s="310"/>
      <c r="T240" s="28"/>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row>
    <row r="241" spans="1:53" s="7" customFormat="1" ht="33.75" customHeight="1">
      <c r="A241" s="582"/>
      <c r="B241" s="504"/>
      <c r="C241" s="442"/>
      <c r="D241" s="364" t="s">
        <v>150</v>
      </c>
      <c r="E241" s="365" t="s">
        <v>16</v>
      </c>
      <c r="F241" s="249" t="s">
        <v>151</v>
      </c>
      <c r="G241" s="558"/>
      <c r="H241" s="432"/>
      <c r="I241" s="444"/>
      <c r="J241" s="589"/>
      <c r="K241" s="589"/>
      <c r="L241" s="589"/>
      <c r="M241" s="589"/>
      <c r="N241" s="589"/>
      <c r="O241" s="587"/>
      <c r="P241" s="576"/>
      <c r="Q241" s="484"/>
      <c r="R241" s="252"/>
      <c r="S241" s="310"/>
      <c r="T241" s="28"/>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row>
    <row r="242" spans="1:53" s="7" customFormat="1" ht="46.5" customHeight="1">
      <c r="A242" s="582"/>
      <c r="B242" s="504"/>
      <c r="C242" s="435" t="s">
        <v>1019</v>
      </c>
      <c r="D242" s="366" t="s">
        <v>152</v>
      </c>
      <c r="E242" s="280" t="s">
        <v>16</v>
      </c>
      <c r="F242" s="246">
        <v>1</v>
      </c>
      <c r="G242" s="258" t="s">
        <v>153</v>
      </c>
      <c r="H242" s="163">
        <v>7000000</v>
      </c>
      <c r="I242" s="240">
        <f>19*5</f>
        <v>95</v>
      </c>
      <c r="J242" s="178">
        <f>19*7000000</f>
        <v>133000000</v>
      </c>
      <c r="K242" s="178">
        <f>19*7000000</f>
        <v>133000000</v>
      </c>
      <c r="L242" s="178">
        <f>19*7000000</f>
        <v>133000000</v>
      </c>
      <c r="M242" s="178">
        <f>19*7000000</f>
        <v>133000000</v>
      </c>
      <c r="N242" s="178">
        <f>19*7000000</f>
        <v>133000000</v>
      </c>
      <c r="O242" s="240">
        <f>P242/500</f>
        <v>1330000</v>
      </c>
      <c r="P242" s="178">
        <f>I242*H242</f>
        <v>665000000</v>
      </c>
      <c r="Q242" s="252" t="s">
        <v>708</v>
      </c>
      <c r="R242" s="252" t="s">
        <v>675</v>
      </c>
      <c r="S242" s="584"/>
      <c r="T242" s="28"/>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row>
    <row r="243" spans="1:53" s="7" customFormat="1" ht="48" customHeight="1">
      <c r="A243" s="582"/>
      <c r="B243" s="504"/>
      <c r="C243" s="437"/>
      <c r="D243" s="366" t="s">
        <v>154</v>
      </c>
      <c r="E243" s="280">
        <v>0</v>
      </c>
      <c r="F243" s="246">
        <v>1</v>
      </c>
      <c r="G243" s="367" t="s">
        <v>647</v>
      </c>
      <c r="H243" s="163">
        <v>13000000</v>
      </c>
      <c r="I243" s="368">
        <v>95</v>
      </c>
      <c r="J243" s="179">
        <v>247000000</v>
      </c>
      <c r="K243" s="179">
        <v>247000000</v>
      </c>
      <c r="L243" s="179">
        <v>247000000</v>
      </c>
      <c r="M243" s="179">
        <v>247000000</v>
      </c>
      <c r="N243" s="179">
        <v>247000000</v>
      </c>
      <c r="O243" s="240">
        <f>P243/500</f>
        <v>2470000</v>
      </c>
      <c r="P243" s="179">
        <f>I243*H243</f>
        <v>1235000000</v>
      </c>
      <c r="Q243" s="252" t="s">
        <v>648</v>
      </c>
      <c r="R243" s="252" t="s">
        <v>649</v>
      </c>
      <c r="S243" s="585"/>
      <c r="T243" s="28"/>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row>
    <row r="244" spans="1:53" s="7" customFormat="1" ht="100.5" customHeight="1">
      <c r="A244" s="582"/>
      <c r="B244" s="504"/>
      <c r="C244" s="114" t="s">
        <v>1020</v>
      </c>
      <c r="D244" s="114" t="s">
        <v>155</v>
      </c>
      <c r="E244" s="280" t="s">
        <v>96</v>
      </c>
      <c r="F244" s="246">
        <v>1</v>
      </c>
      <c r="G244" s="166" t="s">
        <v>587</v>
      </c>
      <c r="H244" s="163">
        <v>2000000000</v>
      </c>
      <c r="I244" s="284">
        <v>5</v>
      </c>
      <c r="J244" s="178">
        <v>2000000000</v>
      </c>
      <c r="K244" s="178">
        <v>2000000000</v>
      </c>
      <c r="L244" s="178">
        <v>2000000000</v>
      </c>
      <c r="M244" s="178">
        <v>2000000000</v>
      </c>
      <c r="N244" s="178">
        <v>2000000000</v>
      </c>
      <c r="O244" s="85">
        <f>P244/500</f>
        <v>20000000</v>
      </c>
      <c r="P244" s="163">
        <f>N244+M244+L244+K244+J244</f>
        <v>10000000000</v>
      </c>
      <c r="Q244" s="252" t="s">
        <v>511</v>
      </c>
      <c r="R244" s="252" t="s">
        <v>626</v>
      </c>
      <c r="S244" s="244"/>
      <c r="T244" s="28"/>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row>
    <row r="245" spans="1:53" s="7" customFormat="1" ht="24" customHeight="1">
      <c r="A245" s="582"/>
      <c r="B245" s="504"/>
      <c r="C245" s="435" t="s">
        <v>1021</v>
      </c>
      <c r="D245" s="366" t="s">
        <v>156</v>
      </c>
      <c r="E245" s="280" t="s">
        <v>96</v>
      </c>
      <c r="F245" s="249" t="s">
        <v>151</v>
      </c>
      <c r="G245" s="441" t="s">
        <v>588</v>
      </c>
      <c r="H245" s="431">
        <v>7000000</v>
      </c>
      <c r="I245" s="443">
        <v>53</v>
      </c>
      <c r="J245" s="588">
        <f>7000000*21</f>
        <v>147000000</v>
      </c>
      <c r="K245" s="588">
        <f>7000000*21</f>
        <v>147000000</v>
      </c>
      <c r="L245" s="588">
        <f>7000000*11</f>
        <v>77000000</v>
      </c>
      <c r="M245" s="588">
        <f>0</f>
        <v>0</v>
      </c>
      <c r="N245" s="588">
        <f>0</f>
        <v>0</v>
      </c>
      <c r="O245" s="499">
        <f>P245/500</f>
        <v>742000</v>
      </c>
      <c r="P245" s="431">
        <f>N245+M245+L245+K245+J245</f>
        <v>371000000</v>
      </c>
      <c r="Q245" s="435" t="s">
        <v>420</v>
      </c>
      <c r="R245" s="435" t="s">
        <v>420</v>
      </c>
      <c r="S245" s="244"/>
      <c r="T245" s="28"/>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row>
    <row r="246" spans="1:53" s="7" customFormat="1" ht="34.5" customHeight="1">
      <c r="A246" s="582"/>
      <c r="B246" s="504"/>
      <c r="C246" s="436"/>
      <c r="D246" s="366" t="s">
        <v>157</v>
      </c>
      <c r="E246" s="280" t="s">
        <v>16</v>
      </c>
      <c r="F246" s="246">
        <v>1</v>
      </c>
      <c r="G246" s="448"/>
      <c r="H246" s="577"/>
      <c r="I246" s="509"/>
      <c r="J246" s="590"/>
      <c r="K246" s="590"/>
      <c r="L246" s="590"/>
      <c r="M246" s="590"/>
      <c r="N246" s="590"/>
      <c r="O246" s="573"/>
      <c r="P246" s="577"/>
      <c r="Q246" s="436"/>
      <c r="R246" s="436"/>
      <c r="S246" s="310"/>
      <c r="T246" s="28"/>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row>
    <row r="247" spans="1:53" s="7" customFormat="1" ht="37.5" customHeight="1">
      <c r="A247" s="582"/>
      <c r="B247" s="504"/>
      <c r="C247" s="436"/>
      <c r="D247" s="433" t="s">
        <v>158</v>
      </c>
      <c r="E247" s="280" t="s">
        <v>16</v>
      </c>
      <c r="F247" s="249" t="s">
        <v>151</v>
      </c>
      <c r="G247" s="442"/>
      <c r="H247" s="432"/>
      <c r="I247" s="444"/>
      <c r="J247" s="589"/>
      <c r="K247" s="589"/>
      <c r="L247" s="589"/>
      <c r="M247" s="589"/>
      <c r="N247" s="589"/>
      <c r="O247" s="500"/>
      <c r="P247" s="432"/>
      <c r="Q247" s="437"/>
      <c r="R247" s="437"/>
      <c r="S247" s="310"/>
      <c r="T247" s="28"/>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row>
    <row r="248" spans="1:53" s="7" customFormat="1" ht="48.75" customHeight="1">
      <c r="A248" s="582"/>
      <c r="B248" s="484"/>
      <c r="C248" s="437"/>
      <c r="D248" s="434"/>
      <c r="E248" s="280" t="s">
        <v>16</v>
      </c>
      <c r="F248" s="249" t="s">
        <v>151</v>
      </c>
      <c r="G248" s="314" t="s">
        <v>673</v>
      </c>
      <c r="H248" s="369">
        <v>500000000</v>
      </c>
      <c r="I248" s="370">
        <v>5</v>
      </c>
      <c r="J248" s="180">
        <v>500000000</v>
      </c>
      <c r="K248" s="180">
        <v>500000000</v>
      </c>
      <c r="L248" s="180">
        <v>500000000</v>
      </c>
      <c r="M248" s="180">
        <v>500000000</v>
      </c>
      <c r="N248" s="180">
        <v>500000000</v>
      </c>
      <c r="O248" s="118"/>
      <c r="P248" s="163">
        <f>I248*H248</f>
        <v>2500000000</v>
      </c>
      <c r="Q248" s="371" t="s">
        <v>672</v>
      </c>
      <c r="R248" s="371"/>
      <c r="S248" s="310"/>
      <c r="T248" s="28"/>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row>
    <row r="249" spans="1:53" s="7" customFormat="1" ht="38.25" customHeight="1">
      <c r="A249" s="582"/>
      <c r="B249" s="435" t="s">
        <v>1022</v>
      </c>
      <c r="C249" s="114" t="s">
        <v>1023</v>
      </c>
      <c r="D249" s="114" t="s">
        <v>159</v>
      </c>
      <c r="E249" s="280" t="s">
        <v>16</v>
      </c>
      <c r="F249" s="246">
        <v>0.6</v>
      </c>
      <c r="G249" s="114" t="s">
        <v>413</v>
      </c>
      <c r="H249" s="163">
        <v>350000</v>
      </c>
      <c r="I249" s="284">
        <f>6*4*5</f>
        <v>120</v>
      </c>
      <c r="J249" s="178">
        <f>350000*24</f>
        <v>8400000</v>
      </c>
      <c r="K249" s="178">
        <f aca="true" t="shared" si="31" ref="K249:N250">350000*24</f>
        <v>8400000</v>
      </c>
      <c r="L249" s="178">
        <f t="shared" si="31"/>
        <v>8400000</v>
      </c>
      <c r="M249" s="178">
        <f t="shared" si="31"/>
        <v>8400000</v>
      </c>
      <c r="N249" s="178">
        <f t="shared" si="31"/>
        <v>8400000</v>
      </c>
      <c r="O249" s="85">
        <f>P249/500</f>
        <v>84000</v>
      </c>
      <c r="P249" s="163">
        <f>N249+M249+L249+K249+J249</f>
        <v>42000000</v>
      </c>
      <c r="Q249" s="252" t="s">
        <v>421</v>
      </c>
      <c r="R249" s="252" t="s">
        <v>622</v>
      </c>
      <c r="S249" s="310"/>
      <c r="T249" s="28"/>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row>
    <row r="250" spans="1:53" s="7" customFormat="1" ht="48.75" customHeight="1">
      <c r="A250" s="582"/>
      <c r="B250" s="436"/>
      <c r="C250" s="435" t="s">
        <v>1024</v>
      </c>
      <c r="D250" s="114" t="s">
        <v>160</v>
      </c>
      <c r="E250" s="280" t="s">
        <v>16</v>
      </c>
      <c r="F250" s="246">
        <v>0.3</v>
      </c>
      <c r="G250" s="252" t="s">
        <v>414</v>
      </c>
      <c r="H250" s="163">
        <v>350000</v>
      </c>
      <c r="I250" s="284">
        <f>6*4*5</f>
        <v>120</v>
      </c>
      <c r="J250" s="178">
        <f>350000*24</f>
        <v>8400000</v>
      </c>
      <c r="K250" s="178">
        <f t="shared" si="31"/>
        <v>8400000</v>
      </c>
      <c r="L250" s="178">
        <f t="shared" si="31"/>
        <v>8400000</v>
      </c>
      <c r="M250" s="178">
        <f t="shared" si="31"/>
        <v>8400000</v>
      </c>
      <c r="N250" s="178">
        <f t="shared" si="31"/>
        <v>8400000</v>
      </c>
      <c r="O250" s="85">
        <f>P250/500</f>
        <v>84000</v>
      </c>
      <c r="P250" s="163">
        <f>N250+M250+L250+K250+J250</f>
        <v>42000000</v>
      </c>
      <c r="Q250" s="252" t="s">
        <v>668</v>
      </c>
      <c r="R250" s="252" t="s">
        <v>671</v>
      </c>
      <c r="S250" s="310"/>
      <c r="T250" s="28"/>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row>
    <row r="251" spans="1:53" s="7" customFormat="1" ht="33.75" customHeight="1">
      <c r="A251" s="582"/>
      <c r="B251" s="436"/>
      <c r="C251" s="436"/>
      <c r="D251" s="366" t="s">
        <v>161</v>
      </c>
      <c r="E251" s="280" t="s">
        <v>16</v>
      </c>
      <c r="F251" s="246" t="s">
        <v>96</v>
      </c>
      <c r="G251" s="433" t="s">
        <v>415</v>
      </c>
      <c r="H251" s="431">
        <v>7000000</v>
      </c>
      <c r="I251" s="443">
        <f>100/25</f>
        <v>4</v>
      </c>
      <c r="J251" s="178">
        <v>7000000</v>
      </c>
      <c r="K251" s="178">
        <v>7000000</v>
      </c>
      <c r="L251" s="178">
        <v>7000000</v>
      </c>
      <c r="M251" s="178"/>
      <c r="N251" s="178">
        <v>0</v>
      </c>
      <c r="O251" s="85">
        <f>P251/500</f>
        <v>42000</v>
      </c>
      <c r="P251" s="163">
        <f>N251+M251+L251+K251+J251</f>
        <v>21000000</v>
      </c>
      <c r="Q251" s="252" t="s">
        <v>670</v>
      </c>
      <c r="R251" s="252" t="s">
        <v>669</v>
      </c>
      <c r="S251" s="310"/>
      <c r="T251" s="28"/>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row>
    <row r="252" spans="1:53" s="7" customFormat="1" ht="42.75" customHeight="1">
      <c r="A252" s="582"/>
      <c r="B252" s="436"/>
      <c r="C252" s="437"/>
      <c r="D252" s="366" t="s">
        <v>162</v>
      </c>
      <c r="E252" s="280" t="s">
        <v>16</v>
      </c>
      <c r="F252" s="246" t="s">
        <v>96</v>
      </c>
      <c r="G252" s="434"/>
      <c r="H252" s="432"/>
      <c r="I252" s="444"/>
      <c r="J252" s="178">
        <v>0</v>
      </c>
      <c r="K252" s="178">
        <v>0</v>
      </c>
      <c r="L252" s="178">
        <v>0</v>
      </c>
      <c r="M252" s="178">
        <f>0</f>
        <v>0</v>
      </c>
      <c r="N252" s="178">
        <f>0</f>
        <v>0</v>
      </c>
      <c r="O252" s="45"/>
      <c r="P252" s="347">
        <f>0</f>
        <v>0</v>
      </c>
      <c r="Q252" s="252"/>
      <c r="R252" s="252"/>
      <c r="S252" s="310"/>
      <c r="T252" s="28"/>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row>
    <row r="253" spans="1:53" s="7" customFormat="1" ht="55.5" customHeight="1">
      <c r="A253" s="583"/>
      <c r="B253" s="437"/>
      <c r="C253" s="114" t="s">
        <v>1025</v>
      </c>
      <c r="D253" s="166" t="s">
        <v>163</v>
      </c>
      <c r="E253" s="280" t="s">
        <v>16</v>
      </c>
      <c r="F253" s="249">
        <v>1</v>
      </c>
      <c r="G253" s="114" t="s">
        <v>590</v>
      </c>
      <c r="H253" s="163">
        <v>20000000</v>
      </c>
      <c r="I253" s="284">
        <v>5</v>
      </c>
      <c r="J253" s="178">
        <f>1*H253</f>
        <v>20000000</v>
      </c>
      <c r="K253" s="178">
        <f>J253</f>
        <v>20000000</v>
      </c>
      <c r="L253" s="178">
        <f>K253</f>
        <v>20000000</v>
      </c>
      <c r="M253" s="178">
        <f>L253</f>
        <v>20000000</v>
      </c>
      <c r="N253" s="178">
        <f>M253</f>
        <v>20000000</v>
      </c>
      <c r="O253" s="45"/>
      <c r="P253" s="163">
        <f>H253*I253</f>
        <v>100000000</v>
      </c>
      <c r="Q253" s="252" t="s">
        <v>666</v>
      </c>
      <c r="R253" s="252" t="s">
        <v>667</v>
      </c>
      <c r="S253" s="310"/>
      <c r="T253" s="28"/>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row>
    <row r="254" spans="1:53" s="64" customFormat="1" ht="30.75" customHeight="1">
      <c r="A254" s="424" t="s">
        <v>564</v>
      </c>
      <c r="B254" s="520"/>
      <c r="C254" s="520"/>
      <c r="D254" s="520"/>
      <c r="E254" s="520"/>
      <c r="F254" s="520"/>
      <c r="G254" s="521"/>
      <c r="H254" s="171"/>
      <c r="I254" s="285"/>
      <c r="J254" s="168">
        <f>SUM(J237:J253)</f>
        <v>3084800000</v>
      </c>
      <c r="K254" s="168">
        <f>SUM(K237:K253)</f>
        <v>3084800000</v>
      </c>
      <c r="L254" s="168">
        <f>SUM(L237:L253)</f>
        <v>3014800000</v>
      </c>
      <c r="M254" s="168">
        <f>SUM(M237:M253)</f>
        <v>2930800000</v>
      </c>
      <c r="N254" s="168">
        <f>SUM(N237:N253)</f>
        <v>2930800000</v>
      </c>
      <c r="O254" s="69">
        <f>P254/500</f>
        <v>30092000</v>
      </c>
      <c r="P254" s="171">
        <f>SUM(P237:P253)</f>
        <v>15046000000</v>
      </c>
      <c r="Q254" s="275"/>
      <c r="R254" s="275"/>
      <c r="S254" s="346"/>
      <c r="T254" s="28"/>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row>
    <row r="255" spans="1:53" s="7" customFormat="1" ht="85.5" customHeight="1">
      <c r="A255" s="461" t="s">
        <v>1026</v>
      </c>
      <c r="B255" s="463" t="s">
        <v>1027</v>
      </c>
      <c r="C255" s="166" t="s">
        <v>1028</v>
      </c>
      <c r="D255" s="166" t="s">
        <v>589</v>
      </c>
      <c r="E255" s="280" t="s">
        <v>16</v>
      </c>
      <c r="F255" s="257">
        <v>1</v>
      </c>
      <c r="G255" s="166" t="s">
        <v>164</v>
      </c>
      <c r="H255" s="163">
        <f>220000000</f>
        <v>220000000</v>
      </c>
      <c r="I255" s="284">
        <v>5</v>
      </c>
      <c r="J255" s="162">
        <f>1*H255</f>
        <v>220000000</v>
      </c>
      <c r="K255" s="162">
        <f>J255</f>
        <v>220000000</v>
      </c>
      <c r="L255" s="162">
        <f>K255</f>
        <v>220000000</v>
      </c>
      <c r="M255" s="162">
        <f>L255</f>
        <v>220000000</v>
      </c>
      <c r="N255" s="162">
        <f>M255</f>
        <v>220000000</v>
      </c>
      <c r="O255" s="45"/>
      <c r="P255" s="163">
        <f aca="true" t="shared" si="32" ref="P255:P260">H255*I255</f>
        <v>1100000000</v>
      </c>
      <c r="Q255" s="252" t="s">
        <v>705</v>
      </c>
      <c r="R255" s="252" t="s">
        <v>656</v>
      </c>
      <c r="S255" s="310"/>
      <c r="T255" s="28"/>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row>
    <row r="256" spans="1:53" s="7" customFormat="1" ht="103.5" customHeight="1">
      <c r="A256" s="462"/>
      <c r="B256" s="427"/>
      <c r="C256" s="166" t="s">
        <v>1029</v>
      </c>
      <c r="D256" s="115" t="s">
        <v>165</v>
      </c>
      <c r="E256" s="280">
        <v>0</v>
      </c>
      <c r="F256" s="257">
        <v>1</v>
      </c>
      <c r="G256" s="166" t="s">
        <v>166</v>
      </c>
      <c r="H256" s="163">
        <v>600000000</v>
      </c>
      <c r="I256" s="284">
        <v>2</v>
      </c>
      <c r="J256" s="162">
        <v>600000000</v>
      </c>
      <c r="K256" s="162">
        <v>600000000</v>
      </c>
      <c r="L256" s="162">
        <v>0</v>
      </c>
      <c r="M256" s="162">
        <v>0</v>
      </c>
      <c r="N256" s="162">
        <v>0</v>
      </c>
      <c r="O256" s="85">
        <f>P256/500</f>
        <v>2400000</v>
      </c>
      <c r="P256" s="163">
        <f t="shared" si="32"/>
        <v>1200000000</v>
      </c>
      <c r="Q256" s="252" t="s">
        <v>705</v>
      </c>
      <c r="R256" s="252" t="s">
        <v>653</v>
      </c>
      <c r="S256" s="310"/>
      <c r="T256" s="28"/>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row>
    <row r="257" spans="1:53" s="7" customFormat="1" ht="121.5" customHeight="1">
      <c r="A257" s="372"/>
      <c r="B257" s="428"/>
      <c r="C257" s="166" t="s">
        <v>1030</v>
      </c>
      <c r="D257" s="115" t="s">
        <v>167</v>
      </c>
      <c r="E257" s="280" t="s">
        <v>16</v>
      </c>
      <c r="F257" s="257">
        <v>36</v>
      </c>
      <c r="G257" s="115" t="s">
        <v>168</v>
      </c>
      <c r="H257" s="328">
        <v>20000000</v>
      </c>
      <c r="I257" s="284">
        <f>20*5</f>
        <v>100</v>
      </c>
      <c r="J257" s="162">
        <v>500000000</v>
      </c>
      <c r="K257" s="162">
        <v>700000000</v>
      </c>
      <c r="L257" s="162">
        <v>600000000</v>
      </c>
      <c r="M257" s="162">
        <v>200000000</v>
      </c>
      <c r="N257" s="162"/>
      <c r="O257" s="85">
        <f>P257/500</f>
        <v>4000000</v>
      </c>
      <c r="P257" s="163">
        <f t="shared" si="32"/>
        <v>2000000000</v>
      </c>
      <c r="Q257" s="252" t="s">
        <v>594</v>
      </c>
      <c r="R257" s="252" t="s">
        <v>653</v>
      </c>
      <c r="S257" s="310"/>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row>
    <row r="258" spans="1:53" s="7" customFormat="1" ht="47.25" customHeight="1">
      <c r="A258" s="372"/>
      <c r="B258" s="458" t="s">
        <v>1031</v>
      </c>
      <c r="C258" s="441" t="s">
        <v>1032</v>
      </c>
      <c r="D258" s="441" t="s">
        <v>169</v>
      </c>
      <c r="E258" s="280" t="s">
        <v>16</v>
      </c>
      <c r="F258" s="257" t="s">
        <v>151</v>
      </c>
      <c r="G258" s="115" t="s">
        <v>899</v>
      </c>
      <c r="H258" s="162">
        <f>250000*20+5000000</f>
        <v>10000000</v>
      </c>
      <c r="I258" s="240">
        <v>1</v>
      </c>
      <c r="J258" s="162">
        <v>10000000</v>
      </c>
      <c r="K258" s="162">
        <v>0</v>
      </c>
      <c r="L258" s="162">
        <v>0</v>
      </c>
      <c r="M258" s="162">
        <v>0</v>
      </c>
      <c r="N258" s="162">
        <v>0</v>
      </c>
      <c r="O258" s="85">
        <f>P258/500</f>
        <v>20000</v>
      </c>
      <c r="P258" s="162">
        <f t="shared" si="32"/>
        <v>10000000</v>
      </c>
      <c r="Q258" s="252" t="s">
        <v>594</v>
      </c>
      <c r="R258" s="252" t="s">
        <v>653</v>
      </c>
      <c r="S258" s="201"/>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row>
    <row r="259" spans="1:53" s="7" customFormat="1" ht="52.5" customHeight="1">
      <c r="A259" s="372"/>
      <c r="B259" s="459"/>
      <c r="C259" s="442"/>
      <c r="D259" s="442"/>
      <c r="E259" s="280"/>
      <c r="F259" s="257"/>
      <c r="G259" s="115" t="s">
        <v>170</v>
      </c>
      <c r="H259" s="162">
        <v>5000</v>
      </c>
      <c r="I259" s="240">
        <v>5000</v>
      </c>
      <c r="J259" s="162">
        <v>10000000</v>
      </c>
      <c r="K259" s="162">
        <v>10000000</v>
      </c>
      <c r="L259" s="162">
        <v>5000000</v>
      </c>
      <c r="M259" s="162">
        <v>0</v>
      </c>
      <c r="N259" s="162">
        <v>0</v>
      </c>
      <c r="O259" s="85">
        <f>P259/500</f>
        <v>50000</v>
      </c>
      <c r="P259" s="162">
        <f t="shared" si="32"/>
        <v>25000000</v>
      </c>
      <c r="Q259" s="252" t="s">
        <v>594</v>
      </c>
      <c r="R259" s="252" t="s">
        <v>653</v>
      </c>
      <c r="S259" s="244"/>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row>
    <row r="260" spans="1:53" s="7" customFormat="1" ht="67.5" customHeight="1">
      <c r="A260" s="372"/>
      <c r="B260" s="460"/>
      <c r="C260" s="166" t="s">
        <v>1033</v>
      </c>
      <c r="D260" s="115" t="s">
        <v>171</v>
      </c>
      <c r="E260" s="280"/>
      <c r="F260" s="257"/>
      <c r="G260" s="258" t="s">
        <v>652</v>
      </c>
      <c r="H260" s="163">
        <v>10000000</v>
      </c>
      <c r="I260" s="284">
        <v>29</v>
      </c>
      <c r="J260" s="162" t="s">
        <v>591</v>
      </c>
      <c r="K260" s="162" t="s">
        <v>586</v>
      </c>
      <c r="L260" s="162">
        <v>100000000</v>
      </c>
      <c r="M260" s="162"/>
      <c r="N260" s="162"/>
      <c r="O260" s="45"/>
      <c r="P260" s="347">
        <f t="shared" si="32"/>
        <v>290000000</v>
      </c>
      <c r="Q260" s="252" t="s">
        <v>594</v>
      </c>
      <c r="R260" s="252" t="s">
        <v>653</v>
      </c>
      <c r="S260" s="310"/>
      <c r="T260" s="28"/>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row>
    <row r="261" spans="1:53" s="7" customFormat="1" ht="69.75" customHeight="1">
      <c r="A261" s="372"/>
      <c r="B261" s="528" t="s">
        <v>1034</v>
      </c>
      <c r="C261" s="121" t="s">
        <v>1035</v>
      </c>
      <c r="D261" s="115" t="s">
        <v>172</v>
      </c>
      <c r="E261" s="280">
        <v>0</v>
      </c>
      <c r="F261" s="257">
        <v>1</v>
      </c>
      <c r="G261" s="258" t="s">
        <v>147</v>
      </c>
      <c r="H261" s="163" t="s">
        <v>28</v>
      </c>
      <c r="I261" s="284" t="s">
        <v>28</v>
      </c>
      <c r="J261" s="162"/>
      <c r="K261" s="162"/>
      <c r="L261" s="162"/>
      <c r="M261" s="162"/>
      <c r="N261" s="162"/>
      <c r="O261" s="45"/>
      <c r="P261" s="347" t="s">
        <v>28</v>
      </c>
      <c r="Q261" s="252" t="s">
        <v>594</v>
      </c>
      <c r="R261" s="252" t="s">
        <v>653</v>
      </c>
      <c r="S261" s="310"/>
      <c r="T261" s="28"/>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row>
    <row r="262" spans="1:53" s="7" customFormat="1" ht="67.5" customHeight="1">
      <c r="A262" s="373"/>
      <c r="B262" s="553"/>
      <c r="C262" s="166" t="s">
        <v>1036</v>
      </c>
      <c r="D262" s="115" t="s">
        <v>173</v>
      </c>
      <c r="E262" s="280" t="s">
        <v>96</v>
      </c>
      <c r="F262" s="257" t="s">
        <v>151</v>
      </c>
      <c r="G262" s="258" t="s">
        <v>174</v>
      </c>
      <c r="H262" s="163">
        <v>70000000</v>
      </c>
      <c r="I262" s="284">
        <v>19</v>
      </c>
      <c r="J262" s="162">
        <v>350000000</v>
      </c>
      <c r="K262" s="162">
        <v>700000000</v>
      </c>
      <c r="L262" s="162">
        <v>280000000</v>
      </c>
      <c r="M262" s="162"/>
      <c r="N262" s="162"/>
      <c r="O262" s="85">
        <f>P262/500</f>
        <v>2660000</v>
      </c>
      <c r="P262" s="162">
        <f>H262*I262</f>
        <v>1330000000</v>
      </c>
      <c r="Q262" s="252" t="s">
        <v>654</v>
      </c>
      <c r="R262" s="252" t="s">
        <v>655</v>
      </c>
      <c r="S262" s="310"/>
      <c r="T262" s="28"/>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row>
    <row r="263" spans="1:53" s="64" customFormat="1" ht="27" customHeight="1">
      <c r="A263" s="525" t="s">
        <v>565</v>
      </c>
      <c r="B263" s="526"/>
      <c r="C263" s="526"/>
      <c r="D263" s="526"/>
      <c r="E263" s="526"/>
      <c r="F263" s="526"/>
      <c r="G263" s="527"/>
      <c r="H263" s="163"/>
      <c r="I263" s="285"/>
      <c r="J263" s="162">
        <f>SUM(J255:J262)</f>
        <v>1690000000</v>
      </c>
      <c r="K263" s="162">
        <f>SUM(K255:K262)</f>
        <v>2230000000</v>
      </c>
      <c r="L263" s="162">
        <f>SUM(L255:L262)</f>
        <v>1205000000</v>
      </c>
      <c r="M263" s="162">
        <f>SUM(M246:M262)</f>
        <v>3887600000</v>
      </c>
      <c r="N263" s="162">
        <f>SUM(N256:N262)</f>
        <v>0</v>
      </c>
      <c r="O263" s="61"/>
      <c r="P263" s="168">
        <f>SUM(P255:P262)</f>
        <v>5955000000</v>
      </c>
      <c r="Q263" s="275"/>
      <c r="R263" s="275"/>
      <c r="S263" s="346"/>
      <c r="T263" s="28"/>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row>
    <row r="264" spans="1:53" s="7" customFormat="1" ht="54.75" customHeight="1">
      <c r="A264" s="606" t="s">
        <v>1037</v>
      </c>
      <c r="B264" s="441" t="s">
        <v>1038</v>
      </c>
      <c r="C264" s="441" t="s">
        <v>1039</v>
      </c>
      <c r="D264" s="441" t="s">
        <v>175</v>
      </c>
      <c r="E264" s="478">
        <v>0</v>
      </c>
      <c r="F264" s="456">
        <v>1</v>
      </c>
      <c r="G264" s="115" t="s">
        <v>176</v>
      </c>
      <c r="H264" s="162">
        <f>250000*20+5000000</f>
        <v>10000000</v>
      </c>
      <c r="I264" s="240">
        <v>1</v>
      </c>
      <c r="J264" s="162">
        <v>10000000</v>
      </c>
      <c r="K264" s="162">
        <v>0</v>
      </c>
      <c r="L264" s="162">
        <v>0</v>
      </c>
      <c r="M264" s="162">
        <v>0</v>
      </c>
      <c r="N264" s="162">
        <v>0</v>
      </c>
      <c r="O264" s="85">
        <f>P264/500</f>
        <v>20000</v>
      </c>
      <c r="P264" s="162">
        <f>H264*I264</f>
        <v>10000000</v>
      </c>
      <c r="Q264" s="115" t="s">
        <v>633</v>
      </c>
      <c r="R264" s="115" t="s">
        <v>707</v>
      </c>
      <c r="S264" s="201"/>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row>
    <row r="265" spans="1:53" s="7" customFormat="1" ht="55.5" customHeight="1">
      <c r="A265" s="607"/>
      <c r="B265" s="448"/>
      <c r="C265" s="442"/>
      <c r="D265" s="442"/>
      <c r="E265" s="558"/>
      <c r="F265" s="457"/>
      <c r="G265" s="115" t="s">
        <v>177</v>
      </c>
      <c r="H265" s="162">
        <v>5000</v>
      </c>
      <c r="I265" s="240">
        <v>5000</v>
      </c>
      <c r="J265" s="162">
        <f>2500*5000</f>
        <v>12500000</v>
      </c>
      <c r="K265" s="162">
        <v>10000000</v>
      </c>
      <c r="L265" s="162">
        <v>2500000</v>
      </c>
      <c r="M265" s="162"/>
      <c r="N265" s="162"/>
      <c r="O265" s="85">
        <f>P265/500</f>
        <v>50000</v>
      </c>
      <c r="P265" s="162">
        <f>H265*I265</f>
        <v>25000000</v>
      </c>
      <c r="Q265" s="115" t="s">
        <v>633</v>
      </c>
      <c r="R265" s="115" t="s">
        <v>706</v>
      </c>
      <c r="S265" s="244"/>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row>
    <row r="266" spans="1:53" s="7" customFormat="1" ht="78.75">
      <c r="A266" s="607"/>
      <c r="B266" s="448"/>
      <c r="C266" s="166" t="s">
        <v>1040</v>
      </c>
      <c r="D266" s="115" t="s">
        <v>178</v>
      </c>
      <c r="E266" s="280" t="s">
        <v>16</v>
      </c>
      <c r="F266" s="265">
        <v>0.8</v>
      </c>
      <c r="G266" s="115" t="s">
        <v>416</v>
      </c>
      <c r="H266" s="163">
        <v>7000000</v>
      </c>
      <c r="I266" s="284">
        <f>200*5/25</f>
        <v>40</v>
      </c>
      <c r="J266" s="162">
        <f>15*7000000</f>
        <v>105000000</v>
      </c>
      <c r="K266" s="162">
        <v>105000000</v>
      </c>
      <c r="L266" s="162">
        <v>70000000</v>
      </c>
      <c r="M266" s="162"/>
      <c r="N266" s="162"/>
      <c r="O266" s="85">
        <f>P266/500</f>
        <v>560000</v>
      </c>
      <c r="P266" s="162">
        <f>H266*I266</f>
        <v>280000000</v>
      </c>
      <c r="Q266" s="374" t="s">
        <v>633</v>
      </c>
      <c r="R266" s="115" t="s">
        <v>650</v>
      </c>
      <c r="S266" s="310"/>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row>
    <row r="267" spans="1:53" s="7" customFormat="1" ht="94.5">
      <c r="A267" s="607"/>
      <c r="B267" s="448"/>
      <c r="C267" s="166" t="s">
        <v>1041</v>
      </c>
      <c r="D267" s="115" t="s">
        <v>179</v>
      </c>
      <c r="E267" s="280" t="s">
        <v>16</v>
      </c>
      <c r="F267" s="265">
        <v>0.7</v>
      </c>
      <c r="G267" s="115" t="s">
        <v>658</v>
      </c>
      <c r="H267" s="163" t="s">
        <v>28</v>
      </c>
      <c r="I267" s="284" t="s">
        <v>28</v>
      </c>
      <c r="J267" s="162"/>
      <c r="K267" s="162"/>
      <c r="L267" s="162"/>
      <c r="M267" s="162"/>
      <c r="N267" s="162"/>
      <c r="O267" s="45"/>
      <c r="P267" s="347" t="s">
        <v>28</v>
      </c>
      <c r="Q267" s="374" t="s">
        <v>633</v>
      </c>
      <c r="R267" s="115" t="s">
        <v>650</v>
      </c>
      <c r="S267" s="310" t="s">
        <v>180</v>
      </c>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row>
    <row r="268" spans="1:53" s="7" customFormat="1" ht="63">
      <c r="A268" s="607"/>
      <c r="B268" s="448"/>
      <c r="C268" s="166" t="s">
        <v>1042</v>
      </c>
      <c r="D268" s="115" t="s">
        <v>181</v>
      </c>
      <c r="E268" s="280" t="s">
        <v>16</v>
      </c>
      <c r="F268" s="265">
        <v>0.7</v>
      </c>
      <c r="G268" s="115" t="s">
        <v>182</v>
      </c>
      <c r="H268" s="163">
        <v>7000000</v>
      </c>
      <c r="I268" s="284">
        <v>10</v>
      </c>
      <c r="J268" s="162">
        <v>35000000</v>
      </c>
      <c r="K268" s="162">
        <v>35000000</v>
      </c>
      <c r="L268" s="162"/>
      <c r="M268" s="162"/>
      <c r="N268" s="162"/>
      <c r="O268" s="85">
        <f>P268/500</f>
        <v>140000</v>
      </c>
      <c r="P268" s="162">
        <f>H268*I268</f>
        <v>70000000</v>
      </c>
      <c r="Q268" s="374" t="s">
        <v>119</v>
      </c>
      <c r="R268" s="115" t="s">
        <v>650</v>
      </c>
      <c r="S268" s="310"/>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row>
    <row r="269" spans="1:53" s="7" customFormat="1" ht="78.75">
      <c r="A269" s="607"/>
      <c r="B269" s="448"/>
      <c r="C269" s="121" t="s">
        <v>1043</v>
      </c>
      <c r="D269" s="115" t="s">
        <v>183</v>
      </c>
      <c r="E269" s="280" t="s">
        <v>16</v>
      </c>
      <c r="F269" s="265">
        <v>0.8</v>
      </c>
      <c r="G269" s="115" t="s">
        <v>184</v>
      </c>
      <c r="H269" s="163">
        <v>7000000</v>
      </c>
      <c r="I269" s="284">
        <v>10</v>
      </c>
      <c r="J269" s="162">
        <v>35000000</v>
      </c>
      <c r="K269" s="162">
        <v>35000000</v>
      </c>
      <c r="L269" s="162"/>
      <c r="M269" s="162"/>
      <c r="N269" s="162"/>
      <c r="O269" s="85">
        <f>P269/500</f>
        <v>140000</v>
      </c>
      <c r="P269" s="162">
        <f>H269*I269</f>
        <v>70000000</v>
      </c>
      <c r="Q269" s="374" t="s">
        <v>119</v>
      </c>
      <c r="R269" s="374" t="s">
        <v>626</v>
      </c>
      <c r="S269" s="310"/>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row>
    <row r="270" spans="1:53" s="7" customFormat="1" ht="63" customHeight="1">
      <c r="A270" s="607"/>
      <c r="B270" s="448"/>
      <c r="C270" s="441" t="s">
        <v>1044</v>
      </c>
      <c r="D270" s="115" t="s">
        <v>657</v>
      </c>
      <c r="E270" s="280" t="s">
        <v>16</v>
      </c>
      <c r="F270" s="265">
        <v>0.5</v>
      </c>
      <c r="G270" s="592" t="s">
        <v>592</v>
      </c>
      <c r="H270" s="429">
        <v>200000000</v>
      </c>
      <c r="I270" s="439">
        <v>5</v>
      </c>
      <c r="J270" s="429">
        <v>200000000</v>
      </c>
      <c r="K270" s="429">
        <v>200000000</v>
      </c>
      <c r="L270" s="429">
        <v>200000000</v>
      </c>
      <c r="M270" s="429">
        <v>200000000</v>
      </c>
      <c r="N270" s="429">
        <v>200000000</v>
      </c>
      <c r="O270" s="499">
        <f>P270/500</f>
        <v>2000000</v>
      </c>
      <c r="P270" s="574">
        <f>H270*I270</f>
        <v>1000000000</v>
      </c>
      <c r="Q270" s="433" t="s">
        <v>648</v>
      </c>
      <c r="R270" s="433" t="s">
        <v>626</v>
      </c>
      <c r="S270" s="595"/>
      <c r="T270" s="28"/>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row>
    <row r="271" spans="1:53" s="7" customFormat="1" ht="15.75">
      <c r="A271" s="607"/>
      <c r="B271" s="448"/>
      <c r="C271" s="448"/>
      <c r="D271" s="115" t="s">
        <v>185</v>
      </c>
      <c r="E271" s="280" t="s">
        <v>16</v>
      </c>
      <c r="F271" s="265">
        <v>0.5</v>
      </c>
      <c r="G271" s="593"/>
      <c r="H271" s="449"/>
      <c r="I271" s="591"/>
      <c r="J271" s="449"/>
      <c r="K271" s="449"/>
      <c r="L271" s="449"/>
      <c r="M271" s="449"/>
      <c r="N271" s="449"/>
      <c r="O271" s="573"/>
      <c r="P271" s="575"/>
      <c r="Q271" s="537"/>
      <c r="R271" s="537"/>
      <c r="S271" s="59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row>
    <row r="272" spans="1:53" s="7" customFormat="1" ht="15.75">
      <c r="A272" s="607"/>
      <c r="B272" s="448"/>
      <c r="C272" s="448"/>
      <c r="D272" s="115" t="s">
        <v>186</v>
      </c>
      <c r="E272" s="280" t="s">
        <v>16</v>
      </c>
      <c r="F272" s="265">
        <v>0.5</v>
      </c>
      <c r="G272" s="593"/>
      <c r="H272" s="449"/>
      <c r="I272" s="591"/>
      <c r="J272" s="449"/>
      <c r="K272" s="449"/>
      <c r="L272" s="449"/>
      <c r="M272" s="449"/>
      <c r="N272" s="449"/>
      <c r="O272" s="573"/>
      <c r="P272" s="575"/>
      <c r="Q272" s="537"/>
      <c r="R272" s="537"/>
      <c r="S272" s="59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row>
    <row r="273" spans="1:53" s="7" customFormat="1" ht="47.25">
      <c r="A273" s="607"/>
      <c r="B273" s="448"/>
      <c r="C273" s="448"/>
      <c r="D273" s="115" t="s">
        <v>187</v>
      </c>
      <c r="E273" s="280" t="s">
        <v>16</v>
      </c>
      <c r="F273" s="265">
        <v>0.5</v>
      </c>
      <c r="G273" s="593"/>
      <c r="H273" s="449"/>
      <c r="I273" s="591"/>
      <c r="J273" s="449"/>
      <c r="K273" s="449"/>
      <c r="L273" s="449"/>
      <c r="M273" s="449"/>
      <c r="N273" s="449"/>
      <c r="O273" s="573"/>
      <c r="P273" s="575"/>
      <c r="Q273" s="537"/>
      <c r="R273" s="537"/>
      <c r="S273" s="59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row>
    <row r="274" spans="1:53" s="7" customFormat="1" ht="63">
      <c r="A274" s="607"/>
      <c r="B274" s="442"/>
      <c r="C274" s="442"/>
      <c r="D274" s="115" t="s">
        <v>188</v>
      </c>
      <c r="E274" s="280" t="s">
        <v>16</v>
      </c>
      <c r="F274" s="265">
        <v>0.5</v>
      </c>
      <c r="G274" s="594"/>
      <c r="H274" s="430"/>
      <c r="I274" s="440"/>
      <c r="J274" s="430"/>
      <c r="K274" s="430"/>
      <c r="L274" s="430"/>
      <c r="M274" s="430"/>
      <c r="N274" s="430"/>
      <c r="O274" s="500"/>
      <c r="P274" s="576"/>
      <c r="Q274" s="434"/>
      <c r="R274" s="434"/>
      <c r="S274" s="597"/>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row>
    <row r="275" spans="1:53" s="7" customFormat="1" ht="28.5" customHeight="1">
      <c r="A275" s="607"/>
      <c r="B275" s="609" t="s">
        <v>1045</v>
      </c>
      <c r="C275" s="441" t="s">
        <v>1046</v>
      </c>
      <c r="D275" s="115" t="s">
        <v>189</v>
      </c>
      <c r="E275" s="280" t="s">
        <v>16</v>
      </c>
      <c r="F275" s="265">
        <v>0.5</v>
      </c>
      <c r="G275" s="441" t="s">
        <v>190</v>
      </c>
      <c r="H275" s="431">
        <v>7000000</v>
      </c>
      <c r="I275" s="443">
        <v>10</v>
      </c>
      <c r="J275" s="162">
        <v>35000000</v>
      </c>
      <c r="K275" s="162">
        <v>35000000</v>
      </c>
      <c r="L275" s="162"/>
      <c r="M275" s="162"/>
      <c r="N275" s="162"/>
      <c r="O275" s="499">
        <f>P275/500</f>
        <v>140000</v>
      </c>
      <c r="P275" s="429">
        <f>H275*I275</f>
        <v>70000000</v>
      </c>
      <c r="Q275" s="598" t="s">
        <v>637</v>
      </c>
      <c r="R275" s="598" t="s">
        <v>660</v>
      </c>
      <c r="S275" s="595"/>
      <c r="T275" s="28"/>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row>
    <row r="276" spans="1:53" s="7" customFormat="1" ht="51.75" customHeight="1">
      <c r="A276" s="607"/>
      <c r="B276" s="610"/>
      <c r="C276" s="442"/>
      <c r="D276" s="115" t="s">
        <v>191</v>
      </c>
      <c r="E276" s="280" t="s">
        <v>16</v>
      </c>
      <c r="F276" s="265">
        <v>0.5</v>
      </c>
      <c r="G276" s="448"/>
      <c r="H276" s="577"/>
      <c r="I276" s="509"/>
      <c r="J276" s="162"/>
      <c r="K276" s="162"/>
      <c r="L276" s="162"/>
      <c r="M276" s="162"/>
      <c r="N276" s="162"/>
      <c r="O276" s="573"/>
      <c r="P276" s="449"/>
      <c r="Q276" s="599"/>
      <c r="R276" s="599"/>
      <c r="S276" s="596"/>
      <c r="T276" s="28"/>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row>
    <row r="277" spans="1:53" s="7" customFormat="1" ht="27" customHeight="1">
      <c r="A277" s="607"/>
      <c r="B277" s="610"/>
      <c r="C277" s="441" t="s">
        <v>1047</v>
      </c>
      <c r="D277" s="115" t="s">
        <v>189</v>
      </c>
      <c r="E277" s="280" t="s">
        <v>16</v>
      </c>
      <c r="F277" s="265">
        <v>0.5</v>
      </c>
      <c r="G277" s="448"/>
      <c r="H277" s="577"/>
      <c r="I277" s="509"/>
      <c r="J277" s="162"/>
      <c r="K277" s="162"/>
      <c r="L277" s="162"/>
      <c r="M277" s="162"/>
      <c r="N277" s="162"/>
      <c r="O277" s="573"/>
      <c r="P277" s="449"/>
      <c r="Q277" s="599"/>
      <c r="R277" s="599"/>
      <c r="S277" s="596"/>
      <c r="T277" s="28"/>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row>
    <row r="278" spans="1:53" s="7" customFormat="1" ht="63">
      <c r="A278" s="607"/>
      <c r="B278" s="610"/>
      <c r="C278" s="442"/>
      <c r="D278" s="115" t="s">
        <v>192</v>
      </c>
      <c r="E278" s="280" t="s">
        <v>16</v>
      </c>
      <c r="F278" s="265">
        <v>0.5</v>
      </c>
      <c r="G278" s="442"/>
      <c r="H278" s="432"/>
      <c r="I278" s="444"/>
      <c r="J278" s="162"/>
      <c r="K278" s="162"/>
      <c r="L278" s="162"/>
      <c r="M278" s="162"/>
      <c r="N278" s="162"/>
      <c r="O278" s="500"/>
      <c r="P278" s="430"/>
      <c r="Q278" s="600"/>
      <c r="R278" s="600"/>
      <c r="S278" s="597"/>
      <c r="T278" s="28"/>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row>
    <row r="279" spans="1:53" s="7" customFormat="1" ht="63" customHeight="1">
      <c r="A279" s="607"/>
      <c r="B279" s="610"/>
      <c r="C279" s="166" t="s">
        <v>1048</v>
      </c>
      <c r="D279" s="115" t="s">
        <v>195</v>
      </c>
      <c r="E279" s="280" t="s">
        <v>16</v>
      </c>
      <c r="F279" s="265">
        <v>0.5</v>
      </c>
      <c r="G279" s="592" t="s">
        <v>662</v>
      </c>
      <c r="H279" s="431">
        <v>7000000</v>
      </c>
      <c r="I279" s="443">
        <v>20</v>
      </c>
      <c r="J279" s="429">
        <v>70000000</v>
      </c>
      <c r="K279" s="429">
        <v>35000000</v>
      </c>
      <c r="L279" s="429">
        <v>35000000</v>
      </c>
      <c r="M279" s="429"/>
      <c r="N279" s="429"/>
      <c r="O279" s="499">
        <f>P279/500</f>
        <v>280000</v>
      </c>
      <c r="P279" s="574">
        <f>H279*I279</f>
        <v>140000000</v>
      </c>
      <c r="Q279" s="433" t="s">
        <v>594</v>
      </c>
      <c r="R279" s="483" t="s">
        <v>663</v>
      </c>
      <c r="S279" s="310"/>
      <c r="T279" s="28"/>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row>
    <row r="280" spans="1:53" s="7" customFormat="1" ht="47.25">
      <c r="A280" s="607"/>
      <c r="B280" s="610"/>
      <c r="C280" s="166" t="s">
        <v>1049</v>
      </c>
      <c r="D280" s="115" t="s">
        <v>196</v>
      </c>
      <c r="E280" s="280" t="s">
        <v>16</v>
      </c>
      <c r="F280" s="265">
        <v>0.5</v>
      </c>
      <c r="G280" s="594"/>
      <c r="H280" s="432"/>
      <c r="I280" s="444"/>
      <c r="J280" s="430"/>
      <c r="K280" s="430"/>
      <c r="L280" s="430"/>
      <c r="M280" s="430"/>
      <c r="N280" s="430"/>
      <c r="O280" s="500"/>
      <c r="P280" s="576"/>
      <c r="Q280" s="434"/>
      <c r="R280" s="484"/>
      <c r="S280" s="310"/>
      <c r="T280" s="28"/>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row>
    <row r="281" spans="1:53" s="7" customFormat="1" ht="110.25">
      <c r="A281" s="607"/>
      <c r="B281" s="610"/>
      <c r="C281" s="166" t="s">
        <v>1050</v>
      </c>
      <c r="D281" s="115" t="s">
        <v>197</v>
      </c>
      <c r="E281" s="280">
        <v>0</v>
      </c>
      <c r="F281" s="257">
        <v>5</v>
      </c>
      <c r="G281" s="166" t="s">
        <v>198</v>
      </c>
      <c r="H281" s="163">
        <f>100000000/5</f>
        <v>20000000</v>
      </c>
      <c r="I281" s="284">
        <v>5</v>
      </c>
      <c r="J281" s="162">
        <v>20000000</v>
      </c>
      <c r="K281" s="162">
        <v>20000000</v>
      </c>
      <c r="L281" s="162">
        <v>20000000</v>
      </c>
      <c r="M281" s="162">
        <v>20000000</v>
      </c>
      <c r="N281" s="162">
        <v>20000000</v>
      </c>
      <c r="O281" s="85">
        <f>P281/500</f>
        <v>200000</v>
      </c>
      <c r="P281" s="163">
        <f>H281*I281</f>
        <v>100000000</v>
      </c>
      <c r="Q281" s="115" t="s">
        <v>664</v>
      </c>
      <c r="R281" s="115" t="s">
        <v>622</v>
      </c>
      <c r="S281" s="244"/>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row>
    <row r="282" spans="1:53" s="7" customFormat="1" ht="78.75">
      <c r="A282" s="607"/>
      <c r="B282" s="611"/>
      <c r="C282" s="166" t="s">
        <v>1051</v>
      </c>
      <c r="D282" s="115" t="s">
        <v>199</v>
      </c>
      <c r="E282" s="280">
        <v>1</v>
      </c>
      <c r="F282" s="280">
        <v>10</v>
      </c>
      <c r="G282" s="115" t="s">
        <v>200</v>
      </c>
      <c r="H282" s="163">
        <v>7000000</v>
      </c>
      <c r="I282" s="284">
        <v>10</v>
      </c>
      <c r="J282" s="162">
        <v>28000000</v>
      </c>
      <c r="K282" s="162">
        <v>28000000</v>
      </c>
      <c r="L282" s="162">
        <v>14000000</v>
      </c>
      <c r="M282" s="162"/>
      <c r="N282" s="162"/>
      <c r="O282" s="85">
        <f>P282/500</f>
        <v>140000</v>
      </c>
      <c r="P282" s="162">
        <f>H282*I282</f>
        <v>70000000</v>
      </c>
      <c r="Q282" s="374" t="s">
        <v>594</v>
      </c>
      <c r="R282" s="374" t="s">
        <v>665</v>
      </c>
      <c r="S282" s="310"/>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row>
    <row r="283" spans="1:53" s="7" customFormat="1" ht="126">
      <c r="A283" s="607"/>
      <c r="B283" s="458" t="s">
        <v>1052</v>
      </c>
      <c r="C283" s="166" t="s">
        <v>1053</v>
      </c>
      <c r="D283" s="115" t="s">
        <v>193</v>
      </c>
      <c r="E283" s="280" t="s">
        <v>16</v>
      </c>
      <c r="F283" s="265">
        <v>1</v>
      </c>
      <c r="G283" s="115" t="s">
        <v>194</v>
      </c>
      <c r="H283" s="162">
        <f>350000</f>
        <v>350000</v>
      </c>
      <c r="I283" s="247">
        <f>6*4*5</f>
        <v>120</v>
      </c>
      <c r="J283" s="162">
        <f>24*350000</f>
        <v>8400000</v>
      </c>
      <c r="K283" s="162">
        <f>24*350000</f>
        <v>8400000</v>
      </c>
      <c r="L283" s="162">
        <f>24*350000</f>
        <v>8400000</v>
      </c>
      <c r="M283" s="162">
        <f>24*350000</f>
        <v>8400000</v>
      </c>
      <c r="N283" s="162">
        <f>24*350000</f>
        <v>8400000</v>
      </c>
      <c r="O283" s="85">
        <f>P283/500</f>
        <v>84000</v>
      </c>
      <c r="P283" s="162">
        <f>H283*I283</f>
        <v>42000000</v>
      </c>
      <c r="Q283" s="115" t="s">
        <v>594</v>
      </c>
      <c r="R283" s="115" t="s">
        <v>661</v>
      </c>
      <c r="S283" s="201"/>
      <c r="T283" s="28"/>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row>
    <row r="284" spans="1:53" s="7" customFormat="1" ht="97.5" customHeight="1">
      <c r="A284" s="607"/>
      <c r="B284" s="459"/>
      <c r="C284" s="166" t="s">
        <v>1054</v>
      </c>
      <c r="D284" s="115" t="s">
        <v>201</v>
      </c>
      <c r="E284" s="280" t="s">
        <v>16</v>
      </c>
      <c r="F284" s="257">
        <v>5</v>
      </c>
      <c r="G284" s="115" t="s">
        <v>202</v>
      </c>
      <c r="H284" s="163" t="s">
        <v>28</v>
      </c>
      <c r="I284" s="284" t="s">
        <v>28</v>
      </c>
      <c r="J284" s="162"/>
      <c r="K284" s="162"/>
      <c r="L284" s="162"/>
      <c r="M284" s="162"/>
      <c r="N284" s="162"/>
      <c r="O284" s="45"/>
      <c r="P284" s="347" t="s">
        <v>28</v>
      </c>
      <c r="Q284" s="115" t="s">
        <v>594</v>
      </c>
      <c r="R284" s="115" t="s">
        <v>661</v>
      </c>
      <c r="S284" s="310"/>
      <c r="T284" s="28"/>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row>
    <row r="285" spans="1:53" s="7" customFormat="1" ht="94.5">
      <c r="A285" s="608"/>
      <c r="B285" s="460"/>
      <c r="C285" s="166" t="s">
        <v>1055</v>
      </c>
      <c r="D285" s="115" t="s">
        <v>201</v>
      </c>
      <c r="E285" s="280" t="s">
        <v>16</v>
      </c>
      <c r="F285" s="257">
        <v>5</v>
      </c>
      <c r="G285" s="115" t="s">
        <v>203</v>
      </c>
      <c r="H285" s="163" t="s">
        <v>28</v>
      </c>
      <c r="I285" s="284" t="s">
        <v>28</v>
      </c>
      <c r="J285" s="162"/>
      <c r="K285" s="162"/>
      <c r="L285" s="162"/>
      <c r="M285" s="162"/>
      <c r="N285" s="162"/>
      <c r="O285" s="45"/>
      <c r="P285" s="347" t="s">
        <v>28</v>
      </c>
      <c r="Q285" s="115" t="s">
        <v>594</v>
      </c>
      <c r="R285" s="115" t="s">
        <v>661</v>
      </c>
      <c r="S285" s="310"/>
      <c r="T285" s="28"/>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row>
    <row r="286" spans="1:53" s="71" customFormat="1" ht="18.75">
      <c r="A286" s="424" t="s">
        <v>566</v>
      </c>
      <c r="B286" s="425"/>
      <c r="C286" s="425"/>
      <c r="D286" s="425"/>
      <c r="E286" s="425"/>
      <c r="F286" s="425"/>
      <c r="G286" s="426"/>
      <c r="H286" s="320"/>
      <c r="I286" s="344"/>
      <c r="J286" s="174">
        <f>SUM(J264:J285)</f>
        <v>558900000</v>
      </c>
      <c r="K286" s="174">
        <f>SUM(K264:K285)</f>
        <v>511400000</v>
      </c>
      <c r="L286" s="174">
        <f>SUM(L264:L285)</f>
        <v>349900000</v>
      </c>
      <c r="M286" s="174">
        <f>SUM(M264:M285)</f>
        <v>228400000</v>
      </c>
      <c r="N286" s="174">
        <f>SUM(N264:N285)</f>
        <v>228400000</v>
      </c>
      <c r="O286" s="70"/>
      <c r="P286" s="320">
        <f>SUM(P264:P285)</f>
        <v>1877000000</v>
      </c>
      <c r="Q286" s="375"/>
      <c r="R286" s="375"/>
      <c r="S286" s="376"/>
      <c r="T286" s="223"/>
      <c r="U286" s="224"/>
      <c r="V286" s="224"/>
      <c r="W286" s="224"/>
      <c r="X286" s="224"/>
      <c r="Y286" s="224"/>
      <c r="Z286" s="224"/>
      <c r="AA286" s="224"/>
      <c r="AB286" s="224"/>
      <c r="AC286" s="224"/>
      <c r="AD286" s="224"/>
      <c r="AE286" s="224"/>
      <c r="AF286" s="224"/>
      <c r="AG286" s="224"/>
      <c r="AH286" s="224"/>
      <c r="AI286" s="224"/>
      <c r="AJ286" s="224"/>
      <c r="AK286" s="224"/>
      <c r="AL286" s="224"/>
      <c r="AM286" s="224"/>
      <c r="AN286" s="224"/>
      <c r="AO286" s="224"/>
      <c r="AP286" s="224"/>
      <c r="AQ286" s="224"/>
      <c r="AR286" s="224"/>
      <c r="AS286" s="224"/>
      <c r="AT286" s="224"/>
      <c r="AU286" s="224"/>
      <c r="AV286" s="224"/>
      <c r="AW286" s="224"/>
      <c r="AX286" s="224"/>
      <c r="AY286" s="224"/>
      <c r="AZ286" s="224"/>
      <c r="BA286" s="224"/>
    </row>
    <row r="287" spans="1:53" ht="15.75">
      <c r="A287" s="602" t="s">
        <v>76</v>
      </c>
      <c r="B287" s="603"/>
      <c r="C287" s="603"/>
      <c r="D287" s="604"/>
      <c r="E287" s="359"/>
      <c r="F287" s="359"/>
      <c r="G287" s="377"/>
      <c r="H287" s="323"/>
      <c r="I287" s="284"/>
      <c r="J287" s="177">
        <f>SUM(J237:J253)+SUM(J256:J262)+SUM(J264:J285)</f>
        <v>5113700000</v>
      </c>
      <c r="K287" s="177">
        <f>SUM(K237:K253)+SUM(K255:K262)+SUM(K264:K285)</f>
        <v>5826200000</v>
      </c>
      <c r="L287" s="177">
        <f>SUM(L237:L253)+SUM(L255:L262)+SUM(L264:L285)</f>
        <v>4569700000</v>
      </c>
      <c r="M287" s="177">
        <f>SUM(M237:M253)+SUM(M255:M262)+SUM(M264:M285)</f>
        <v>3579200000</v>
      </c>
      <c r="N287" s="177">
        <f>SUM(N237:N253)+SUM(N255:N262)+SUM(N264:N285)</f>
        <v>3379200000</v>
      </c>
      <c r="O287" s="46"/>
      <c r="P287" s="177">
        <f>SUM(P237:P253)+SUM(P255:P262)+SUM(P264:P285)</f>
        <v>22878000000</v>
      </c>
      <c r="Q287" s="361"/>
      <c r="R287" s="324"/>
      <c r="S287" s="362"/>
      <c r="T287" s="3"/>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1:53" ht="15.75">
      <c r="A288" s="523" t="s">
        <v>1056</v>
      </c>
      <c r="B288" s="524"/>
      <c r="C288" s="524"/>
      <c r="D288" s="524"/>
      <c r="E288" s="524"/>
      <c r="F288" s="524"/>
      <c r="G288" s="524"/>
      <c r="H288" s="524"/>
      <c r="I288" s="524"/>
      <c r="J288" s="524"/>
      <c r="K288" s="524"/>
      <c r="L288" s="524"/>
      <c r="M288" s="524"/>
      <c r="N288" s="524"/>
      <c r="O288" s="524"/>
      <c r="P288" s="524"/>
      <c r="Q288" s="524"/>
      <c r="R288" s="524"/>
      <c r="S288" s="552"/>
      <c r="T288" s="28"/>
      <c r="U288" s="3"/>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1:53" s="105" customFormat="1" ht="62.25" customHeight="1">
      <c r="A289" s="605" t="s">
        <v>1057</v>
      </c>
      <c r="B289" s="545" t="s">
        <v>1058</v>
      </c>
      <c r="C289" s="121" t="s">
        <v>1059</v>
      </c>
      <c r="D289" s="166" t="s">
        <v>204</v>
      </c>
      <c r="E289" s="342" t="s">
        <v>16</v>
      </c>
      <c r="F289" s="265">
        <v>0.8</v>
      </c>
      <c r="G289" s="166" t="s">
        <v>422</v>
      </c>
      <c r="H289" s="162">
        <f>0</f>
        <v>0</v>
      </c>
      <c r="I289" s="247">
        <v>35000</v>
      </c>
      <c r="J289" s="162">
        <v>0</v>
      </c>
      <c r="K289" s="162">
        <v>0</v>
      </c>
      <c r="L289" s="162">
        <v>0</v>
      </c>
      <c r="M289" s="162"/>
      <c r="N289" s="162"/>
      <c r="O289" s="46">
        <f>P289/500</f>
        <v>0</v>
      </c>
      <c r="P289" s="163">
        <f>H289*I289</f>
        <v>0</v>
      </c>
      <c r="Q289" s="115" t="s">
        <v>716</v>
      </c>
      <c r="R289" s="115" t="s">
        <v>879</v>
      </c>
      <c r="S289" s="253">
        <f>P294+P295</f>
        <v>9000000000</v>
      </c>
      <c r="T289" s="28"/>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row>
    <row r="290" spans="1:53" s="7" customFormat="1" ht="47.25">
      <c r="A290" s="605"/>
      <c r="B290" s="545"/>
      <c r="C290" s="470" t="s">
        <v>1060</v>
      </c>
      <c r="D290" s="115" t="s">
        <v>205</v>
      </c>
      <c r="E290" s="290" t="s">
        <v>16</v>
      </c>
      <c r="F290" s="291">
        <v>1</v>
      </c>
      <c r="G290" s="115" t="s">
        <v>206</v>
      </c>
      <c r="H290" s="163">
        <f>313*500</f>
        <v>156500</v>
      </c>
      <c r="I290" s="247">
        <v>40000</v>
      </c>
      <c r="J290" s="162">
        <f>14000*156500</f>
        <v>2191000000</v>
      </c>
      <c r="K290" s="162">
        <f>12000*156500</f>
        <v>1878000000</v>
      </c>
      <c r="L290" s="162">
        <f>6000*156500</f>
        <v>939000000</v>
      </c>
      <c r="M290" s="162">
        <f>6000*156500</f>
        <v>939000000</v>
      </c>
      <c r="N290" s="162">
        <f>2000*156500</f>
        <v>313000000</v>
      </c>
      <c r="O290" s="46">
        <f aca="true" t="shared" si="33" ref="O290:O318">P290/500</f>
        <v>12520000</v>
      </c>
      <c r="P290" s="163">
        <f>H290*I290</f>
        <v>6260000000</v>
      </c>
      <c r="Q290" s="115" t="s">
        <v>594</v>
      </c>
      <c r="R290" s="115" t="s">
        <v>510</v>
      </c>
      <c r="S290" s="253">
        <f>J290+J291+J306+J304+J305+J309+S313</f>
        <v>3252600000</v>
      </c>
      <c r="T290" s="28"/>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row>
    <row r="291" spans="1:53" s="7" customFormat="1" ht="63">
      <c r="A291" s="605"/>
      <c r="B291" s="545"/>
      <c r="C291" s="470"/>
      <c r="D291" s="115" t="s">
        <v>208</v>
      </c>
      <c r="E291" s="290" t="s">
        <v>16</v>
      </c>
      <c r="F291" s="291">
        <v>1</v>
      </c>
      <c r="G291" s="115" t="s">
        <v>209</v>
      </c>
      <c r="H291" s="163">
        <f>144*500</f>
        <v>72000</v>
      </c>
      <c r="I291" s="247">
        <v>1500</v>
      </c>
      <c r="J291" s="162">
        <f>300*72000</f>
        <v>21600000</v>
      </c>
      <c r="K291" s="162">
        <f>300*72000</f>
        <v>21600000</v>
      </c>
      <c r="L291" s="162">
        <f>300*72000</f>
        <v>21600000</v>
      </c>
      <c r="M291" s="162">
        <f>300*72000</f>
        <v>21600000</v>
      </c>
      <c r="N291" s="162">
        <f>300*72000</f>
        <v>21600000</v>
      </c>
      <c r="O291" s="46">
        <f t="shared" si="33"/>
        <v>216000</v>
      </c>
      <c r="P291" s="163">
        <f>H291*I291</f>
        <v>108000000</v>
      </c>
      <c r="Q291" s="115" t="s">
        <v>594</v>
      </c>
      <c r="R291" s="115" t="s">
        <v>22</v>
      </c>
      <c r="S291" s="244"/>
      <c r="T291" s="28"/>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row>
    <row r="292" spans="1:53" s="106" customFormat="1" ht="78.75">
      <c r="A292" s="605"/>
      <c r="B292" s="545"/>
      <c r="C292" s="470"/>
      <c r="D292" s="115" t="s">
        <v>714</v>
      </c>
      <c r="E292" s="290" t="s">
        <v>16</v>
      </c>
      <c r="F292" s="291">
        <v>0.8</v>
      </c>
      <c r="G292" s="115" t="s">
        <v>1061</v>
      </c>
      <c r="H292" s="163">
        <f>36000*6</f>
        <v>216000</v>
      </c>
      <c r="I292" s="247">
        <v>30000</v>
      </c>
      <c r="J292" s="162">
        <f>10500*216000</f>
        <v>2268000000</v>
      </c>
      <c r="K292" s="162">
        <f>9000*216000</f>
        <v>1944000000</v>
      </c>
      <c r="L292" s="162">
        <f>4500*216000</f>
        <v>972000000</v>
      </c>
      <c r="M292" s="162">
        <f>4500*216000</f>
        <v>972000000</v>
      </c>
      <c r="N292" s="162">
        <f>1500*216000</f>
        <v>324000000</v>
      </c>
      <c r="O292" s="46">
        <f t="shared" si="33"/>
        <v>12960000</v>
      </c>
      <c r="P292" s="163">
        <f>H292*I292</f>
        <v>6480000000</v>
      </c>
      <c r="Q292" s="115" t="s">
        <v>768</v>
      </c>
      <c r="R292" s="115" t="s">
        <v>740</v>
      </c>
      <c r="S292" s="244"/>
      <c r="T292" s="28"/>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row>
    <row r="293" spans="1:53" s="7" customFormat="1" ht="63">
      <c r="A293" s="605"/>
      <c r="B293" s="545"/>
      <c r="C293" s="470"/>
      <c r="D293" s="258" t="s">
        <v>210</v>
      </c>
      <c r="E293" s="280" t="s">
        <v>16</v>
      </c>
      <c r="F293" s="265">
        <v>0.7</v>
      </c>
      <c r="G293" s="115"/>
      <c r="H293" s="163"/>
      <c r="I293" s="247"/>
      <c r="J293" s="162"/>
      <c r="K293" s="162"/>
      <c r="L293" s="162"/>
      <c r="M293" s="162"/>
      <c r="N293" s="162"/>
      <c r="O293" s="46">
        <f t="shared" si="33"/>
        <v>0</v>
      </c>
      <c r="P293" s="163"/>
      <c r="Q293" s="115"/>
      <c r="R293" s="115"/>
      <c r="S293" s="244"/>
      <c r="T293" s="28"/>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row>
    <row r="294" spans="1:53" s="105" customFormat="1" ht="51.75" customHeight="1">
      <c r="A294" s="605"/>
      <c r="B294" s="545"/>
      <c r="C294" s="464" t="s">
        <v>1062</v>
      </c>
      <c r="D294" s="115" t="s">
        <v>211</v>
      </c>
      <c r="E294" s="290" t="s">
        <v>16</v>
      </c>
      <c r="F294" s="291">
        <v>0.5</v>
      </c>
      <c r="G294" s="115" t="s">
        <v>212</v>
      </c>
      <c r="H294" s="163">
        <f>90000</f>
        <v>90000</v>
      </c>
      <c r="I294" s="247">
        <v>50000</v>
      </c>
      <c r="J294" s="162">
        <f>17500*90000</f>
        <v>1575000000</v>
      </c>
      <c r="K294" s="162">
        <f>15000*90000</f>
        <v>1350000000</v>
      </c>
      <c r="L294" s="162">
        <f>7500*90000</f>
        <v>675000000</v>
      </c>
      <c r="M294" s="162">
        <f>7500*90000</f>
        <v>675000000</v>
      </c>
      <c r="N294" s="162">
        <f>2500*90000</f>
        <v>225000000</v>
      </c>
      <c r="O294" s="46">
        <f t="shared" si="33"/>
        <v>9000000</v>
      </c>
      <c r="P294" s="163">
        <f>H294*I294</f>
        <v>4500000000</v>
      </c>
      <c r="Q294" s="378" t="s">
        <v>715</v>
      </c>
      <c r="R294" s="115" t="s">
        <v>594</v>
      </c>
      <c r="S294" s="244"/>
      <c r="T294" s="28"/>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row>
    <row r="295" spans="1:53" s="105" customFormat="1" ht="63">
      <c r="A295" s="605"/>
      <c r="B295" s="545"/>
      <c r="C295" s="464"/>
      <c r="D295" s="115" t="s">
        <v>213</v>
      </c>
      <c r="E295" s="290" t="s">
        <v>16</v>
      </c>
      <c r="F295" s="291">
        <v>0.7</v>
      </c>
      <c r="G295" s="115" t="s">
        <v>214</v>
      </c>
      <c r="H295" s="163">
        <f>90000</f>
        <v>90000</v>
      </c>
      <c r="I295" s="247">
        <v>50000</v>
      </c>
      <c r="J295" s="162">
        <f>17500*90000</f>
        <v>1575000000</v>
      </c>
      <c r="K295" s="162">
        <f>15000*90000</f>
        <v>1350000000</v>
      </c>
      <c r="L295" s="162">
        <f>7500*90000</f>
        <v>675000000</v>
      </c>
      <c r="M295" s="162">
        <f>7500*90000</f>
        <v>675000000</v>
      </c>
      <c r="N295" s="162">
        <f>2500*90000</f>
        <v>225000000</v>
      </c>
      <c r="O295" s="46">
        <f t="shared" si="33"/>
        <v>9000000</v>
      </c>
      <c r="P295" s="163">
        <f>H295*I295</f>
        <v>4500000000</v>
      </c>
      <c r="Q295" s="115" t="s">
        <v>716</v>
      </c>
      <c r="R295" s="115" t="s">
        <v>594</v>
      </c>
      <c r="S295" s="244"/>
      <c r="T295" s="28"/>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row>
    <row r="296" spans="1:53" s="7" customFormat="1" ht="41.25" customHeight="1">
      <c r="A296" s="605"/>
      <c r="B296" s="545"/>
      <c r="C296" s="470" t="s">
        <v>1063</v>
      </c>
      <c r="D296" s="601" t="s">
        <v>1064</v>
      </c>
      <c r="E296" s="546" t="s">
        <v>16</v>
      </c>
      <c r="F296" s="466">
        <v>1</v>
      </c>
      <c r="G296" s="115"/>
      <c r="H296" s="163">
        <f>0</f>
        <v>0</v>
      </c>
      <c r="I296" s="247">
        <v>5</v>
      </c>
      <c r="J296" s="162">
        <v>0</v>
      </c>
      <c r="K296" s="162">
        <v>0</v>
      </c>
      <c r="L296" s="162">
        <v>0</v>
      </c>
      <c r="M296" s="162">
        <v>0</v>
      </c>
      <c r="N296" s="162">
        <v>0</v>
      </c>
      <c r="O296" s="46">
        <f t="shared" si="33"/>
        <v>0</v>
      </c>
      <c r="P296" s="163">
        <f>H296*I296</f>
        <v>0</v>
      </c>
      <c r="Q296" s="115" t="s">
        <v>70</v>
      </c>
      <c r="R296" s="115" t="s">
        <v>207</v>
      </c>
      <c r="S296" s="244"/>
      <c r="T296" s="28"/>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row>
    <row r="297" spans="1:53" s="101" customFormat="1" ht="54.75" customHeight="1">
      <c r="A297" s="605"/>
      <c r="B297" s="545"/>
      <c r="C297" s="470"/>
      <c r="D297" s="601"/>
      <c r="E297" s="546"/>
      <c r="F297" s="466"/>
      <c r="G297" s="115" t="s">
        <v>502</v>
      </c>
      <c r="H297" s="163">
        <v>162240000</v>
      </c>
      <c r="I297" s="247">
        <v>5</v>
      </c>
      <c r="J297" s="162">
        <v>162240000</v>
      </c>
      <c r="K297" s="162">
        <v>162240000</v>
      </c>
      <c r="L297" s="162">
        <v>162240000</v>
      </c>
      <c r="M297" s="162">
        <v>162240000</v>
      </c>
      <c r="N297" s="162">
        <v>162240000</v>
      </c>
      <c r="O297" s="46">
        <f>P297/500</f>
        <v>1622400</v>
      </c>
      <c r="P297" s="163">
        <f>H297*I297</f>
        <v>811200000</v>
      </c>
      <c r="Q297" s="115" t="s">
        <v>614</v>
      </c>
      <c r="R297" s="115" t="s">
        <v>207</v>
      </c>
      <c r="S297" s="244"/>
      <c r="T297" s="28"/>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row>
    <row r="298" spans="1:53" s="7" customFormat="1" ht="47.25">
      <c r="A298" s="605"/>
      <c r="B298" s="545"/>
      <c r="C298" s="470" t="s">
        <v>1065</v>
      </c>
      <c r="D298" s="464" t="s">
        <v>215</v>
      </c>
      <c r="E298" s="546">
        <v>1557</v>
      </c>
      <c r="F298" s="466">
        <v>0.5</v>
      </c>
      <c r="G298" s="115" t="s">
        <v>216</v>
      </c>
      <c r="H298" s="163" t="s">
        <v>28</v>
      </c>
      <c r="I298" s="284" t="s">
        <v>28</v>
      </c>
      <c r="J298" s="379"/>
      <c r="K298" s="181"/>
      <c r="L298" s="181"/>
      <c r="M298" s="181"/>
      <c r="N298" s="348"/>
      <c r="O298" s="46"/>
      <c r="P298" s="163" t="s">
        <v>28</v>
      </c>
      <c r="Q298" s="115" t="s">
        <v>70</v>
      </c>
      <c r="R298" s="115" t="s">
        <v>71</v>
      </c>
      <c r="S298" s="201"/>
      <c r="T298" s="28"/>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row>
    <row r="299" spans="1:53" s="101" customFormat="1" ht="78.75">
      <c r="A299" s="605"/>
      <c r="B299" s="545"/>
      <c r="C299" s="470"/>
      <c r="D299" s="464"/>
      <c r="E299" s="546"/>
      <c r="F299" s="466"/>
      <c r="G299" s="115" t="s">
        <v>217</v>
      </c>
      <c r="H299" s="163">
        <v>7000000</v>
      </c>
      <c r="I299" s="247">
        <v>10</v>
      </c>
      <c r="J299" s="162">
        <v>28000000</v>
      </c>
      <c r="K299" s="162">
        <v>28000000</v>
      </c>
      <c r="L299" s="162">
        <v>14000000</v>
      </c>
      <c r="M299" s="162"/>
      <c r="N299" s="162"/>
      <c r="O299" s="46">
        <f t="shared" si="33"/>
        <v>140000</v>
      </c>
      <c r="P299" s="163">
        <f>H299*I299</f>
        <v>70000000</v>
      </c>
      <c r="Q299" s="115" t="s">
        <v>507</v>
      </c>
      <c r="R299" s="115"/>
      <c r="S299" s="244"/>
      <c r="T299" s="28"/>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row>
    <row r="300" spans="1:53" s="101" customFormat="1" ht="31.5">
      <c r="A300" s="605"/>
      <c r="B300" s="545"/>
      <c r="C300" s="470"/>
      <c r="D300" s="464"/>
      <c r="E300" s="546"/>
      <c r="F300" s="466"/>
      <c r="G300" s="115" t="s">
        <v>218</v>
      </c>
      <c r="H300" s="163">
        <v>24200000</v>
      </c>
      <c r="I300" s="247">
        <v>5</v>
      </c>
      <c r="J300" s="162">
        <v>24200000</v>
      </c>
      <c r="K300" s="162">
        <v>24200000</v>
      </c>
      <c r="L300" s="162">
        <v>24200000</v>
      </c>
      <c r="M300" s="162">
        <v>24200000</v>
      </c>
      <c r="N300" s="162">
        <v>24200000</v>
      </c>
      <c r="O300" s="46">
        <f t="shared" si="33"/>
        <v>242000</v>
      </c>
      <c r="P300" s="163">
        <f>H300*I300</f>
        <v>121000000</v>
      </c>
      <c r="Q300" s="115" t="s">
        <v>880</v>
      </c>
      <c r="R300" s="115"/>
      <c r="S300" s="244"/>
      <c r="T300" s="28"/>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row>
    <row r="301" spans="1:53" s="7" customFormat="1" ht="47.25">
      <c r="A301" s="605"/>
      <c r="B301" s="545" t="s">
        <v>1066</v>
      </c>
      <c r="C301" s="166" t="s">
        <v>1067</v>
      </c>
      <c r="D301" s="166" t="s">
        <v>219</v>
      </c>
      <c r="E301" s="342">
        <v>7000</v>
      </c>
      <c r="F301" s="290">
        <v>50000</v>
      </c>
      <c r="G301" s="115" t="s">
        <v>220</v>
      </c>
      <c r="H301" s="290">
        <v>0</v>
      </c>
      <c r="I301" s="247">
        <v>50000</v>
      </c>
      <c r="J301" s="162" t="s">
        <v>549</v>
      </c>
      <c r="K301" s="162" t="s">
        <v>550</v>
      </c>
      <c r="L301" s="162" t="s">
        <v>551</v>
      </c>
      <c r="M301" s="162" t="s">
        <v>551</v>
      </c>
      <c r="N301" s="162" t="s">
        <v>552</v>
      </c>
      <c r="O301" s="46">
        <f t="shared" si="33"/>
        <v>0</v>
      </c>
      <c r="P301" s="163">
        <f>H301*I301</f>
        <v>0</v>
      </c>
      <c r="Q301" s="115" t="s">
        <v>503</v>
      </c>
      <c r="R301" s="115" t="s">
        <v>221</v>
      </c>
      <c r="S301" s="244"/>
      <c r="T301" s="28"/>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row>
    <row r="302" spans="1:53" s="7" customFormat="1" ht="48.75" customHeight="1">
      <c r="A302" s="605"/>
      <c r="B302" s="545"/>
      <c r="C302" s="121" t="s">
        <v>1068</v>
      </c>
      <c r="D302" s="166" t="s">
        <v>222</v>
      </c>
      <c r="E302" s="278">
        <v>0.6</v>
      </c>
      <c r="F302" s="278">
        <v>0.85</v>
      </c>
      <c r="G302" s="115" t="s">
        <v>223</v>
      </c>
      <c r="H302" s="162" t="s">
        <v>28</v>
      </c>
      <c r="I302" s="247"/>
      <c r="J302" s="163"/>
      <c r="K302" s="163"/>
      <c r="L302" s="163"/>
      <c r="M302" s="163"/>
      <c r="N302" s="163"/>
      <c r="O302" s="46">
        <f t="shared" si="33"/>
        <v>0</v>
      </c>
      <c r="P302" s="163"/>
      <c r="Q302" s="115" t="s">
        <v>717</v>
      </c>
      <c r="R302" s="115" t="s">
        <v>614</v>
      </c>
      <c r="S302" s="244"/>
      <c r="T302" s="28"/>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row>
    <row r="303" spans="1:53" s="64" customFormat="1" ht="24.75" customHeight="1">
      <c r="A303" s="453" t="s">
        <v>567</v>
      </c>
      <c r="B303" s="454"/>
      <c r="C303" s="454"/>
      <c r="D303" s="454"/>
      <c r="E303" s="454"/>
      <c r="F303" s="454"/>
      <c r="G303" s="455"/>
      <c r="H303" s="168"/>
      <c r="I303" s="171"/>
      <c r="J303" s="171">
        <f>SUM(J289:J302)</f>
        <v>7845040000</v>
      </c>
      <c r="K303" s="171">
        <f>SUM(K289:K302)</f>
        <v>6758040000</v>
      </c>
      <c r="L303" s="171">
        <f>SUM(L289:L302)</f>
        <v>3483040000</v>
      </c>
      <c r="M303" s="171">
        <f>SUM(M289:M302)</f>
        <v>3469040000</v>
      </c>
      <c r="N303" s="171">
        <f>SUM(N289:N302)</f>
        <v>1295040000</v>
      </c>
      <c r="O303" s="380"/>
      <c r="P303" s="171">
        <f>SUM(P289:P302)</f>
        <v>22850200000</v>
      </c>
      <c r="Q303" s="381"/>
      <c r="R303" s="275"/>
      <c r="S303" s="346"/>
      <c r="T303" s="28"/>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row>
    <row r="304" spans="1:53" s="7" customFormat="1" ht="48" customHeight="1">
      <c r="A304" s="605" t="s">
        <v>1069</v>
      </c>
      <c r="B304" s="545" t="s">
        <v>1070</v>
      </c>
      <c r="C304" s="601" t="s">
        <v>1071</v>
      </c>
      <c r="D304" s="614" t="s">
        <v>224</v>
      </c>
      <c r="E304" s="615">
        <v>0</v>
      </c>
      <c r="F304" s="549">
        <v>1</v>
      </c>
      <c r="G304" s="115" t="s">
        <v>225</v>
      </c>
      <c r="H304" s="163">
        <v>140000000</v>
      </c>
      <c r="I304" s="247">
        <v>1</v>
      </c>
      <c r="J304" s="162">
        <v>140000000</v>
      </c>
      <c r="K304" s="162">
        <v>0</v>
      </c>
      <c r="L304" s="162">
        <v>0</v>
      </c>
      <c r="M304" s="162">
        <v>0</v>
      </c>
      <c r="N304" s="162">
        <v>0</v>
      </c>
      <c r="O304" s="46">
        <f t="shared" si="33"/>
        <v>280000</v>
      </c>
      <c r="P304" s="163">
        <f aca="true" t="shared" si="34" ref="P304:P311">H304*I304</f>
        <v>140000000</v>
      </c>
      <c r="Q304" s="115" t="s">
        <v>594</v>
      </c>
      <c r="R304" s="115"/>
      <c r="S304" s="244"/>
      <c r="T304" s="28"/>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row>
    <row r="305" spans="1:53" s="7" customFormat="1" ht="31.5">
      <c r="A305" s="605"/>
      <c r="B305" s="545"/>
      <c r="C305" s="601"/>
      <c r="D305" s="614"/>
      <c r="E305" s="615"/>
      <c r="F305" s="549"/>
      <c r="G305" s="115" t="s">
        <v>226</v>
      </c>
      <c r="H305" s="163">
        <v>80000000</v>
      </c>
      <c r="I305" s="247">
        <v>1</v>
      </c>
      <c r="J305" s="162">
        <v>80000000</v>
      </c>
      <c r="K305" s="162">
        <v>0</v>
      </c>
      <c r="L305" s="162">
        <v>0</v>
      </c>
      <c r="M305" s="162">
        <v>0</v>
      </c>
      <c r="N305" s="162">
        <v>0</v>
      </c>
      <c r="O305" s="46">
        <f t="shared" si="33"/>
        <v>160000</v>
      </c>
      <c r="P305" s="163">
        <f t="shared" si="34"/>
        <v>80000000</v>
      </c>
      <c r="Q305" s="115" t="s">
        <v>594</v>
      </c>
      <c r="R305" s="115"/>
      <c r="S305" s="244"/>
      <c r="T305" s="28"/>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row>
    <row r="306" spans="1:53" s="7" customFormat="1" ht="63">
      <c r="A306" s="605"/>
      <c r="B306" s="545"/>
      <c r="C306" s="601"/>
      <c r="D306" s="614"/>
      <c r="E306" s="615"/>
      <c r="F306" s="549"/>
      <c r="G306" s="115" t="s">
        <v>227</v>
      </c>
      <c r="H306" s="163">
        <v>70000000</v>
      </c>
      <c r="I306" s="247">
        <v>5</v>
      </c>
      <c r="J306" s="162">
        <v>70000000</v>
      </c>
      <c r="K306" s="162">
        <v>70000000</v>
      </c>
      <c r="L306" s="162">
        <v>70000000</v>
      </c>
      <c r="M306" s="162">
        <v>70000000</v>
      </c>
      <c r="N306" s="162">
        <v>70000000</v>
      </c>
      <c r="O306" s="46">
        <f t="shared" si="33"/>
        <v>700000</v>
      </c>
      <c r="P306" s="163">
        <f t="shared" si="34"/>
        <v>350000000</v>
      </c>
      <c r="Q306" s="115" t="s">
        <v>594</v>
      </c>
      <c r="R306" s="115"/>
      <c r="S306" s="253">
        <f>P308+P311+P314+P316+P317+P318+P319</f>
        <v>6557000000</v>
      </c>
      <c r="T306" s="28"/>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row>
    <row r="307" spans="1:53" s="7" customFormat="1" ht="78.75">
      <c r="A307" s="605"/>
      <c r="B307" s="545"/>
      <c r="C307" s="470" t="s">
        <v>1072</v>
      </c>
      <c r="D307" s="614" t="s">
        <v>228</v>
      </c>
      <c r="E307" s="549" t="s">
        <v>16</v>
      </c>
      <c r="F307" s="549" t="s">
        <v>16</v>
      </c>
      <c r="G307" s="115" t="s">
        <v>229</v>
      </c>
      <c r="H307" s="163">
        <v>0</v>
      </c>
      <c r="I307" s="247">
        <v>5</v>
      </c>
      <c r="J307" s="162" t="s">
        <v>528</v>
      </c>
      <c r="K307" s="162" t="s">
        <v>528</v>
      </c>
      <c r="L307" s="162" t="s">
        <v>528</v>
      </c>
      <c r="M307" s="162" t="s">
        <v>528</v>
      </c>
      <c r="N307" s="162" t="s">
        <v>529</v>
      </c>
      <c r="O307" s="46">
        <f t="shared" si="33"/>
        <v>0</v>
      </c>
      <c r="P307" s="163">
        <f t="shared" si="34"/>
        <v>0</v>
      </c>
      <c r="Q307" s="115" t="s">
        <v>709</v>
      </c>
      <c r="R307" s="115" t="s">
        <v>509</v>
      </c>
      <c r="S307" s="244"/>
      <c r="T307" s="28"/>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row>
    <row r="308" spans="1:53" s="60" customFormat="1" ht="31.5">
      <c r="A308" s="605"/>
      <c r="B308" s="545"/>
      <c r="C308" s="470"/>
      <c r="D308" s="614"/>
      <c r="E308" s="549"/>
      <c r="F308" s="549"/>
      <c r="G308" s="115" t="s">
        <v>231</v>
      </c>
      <c r="H308" s="163">
        <v>62500000</v>
      </c>
      <c r="I308" s="247">
        <v>2</v>
      </c>
      <c r="J308" s="162">
        <v>62500000</v>
      </c>
      <c r="K308" s="162">
        <v>62500000</v>
      </c>
      <c r="L308" s="162"/>
      <c r="M308" s="162"/>
      <c r="N308" s="162"/>
      <c r="O308" s="46">
        <f t="shared" si="33"/>
        <v>250000</v>
      </c>
      <c r="P308" s="163">
        <f t="shared" si="34"/>
        <v>125000000</v>
      </c>
      <c r="Q308" s="115" t="s">
        <v>115</v>
      </c>
      <c r="R308" s="115" t="s">
        <v>230</v>
      </c>
      <c r="S308" s="244"/>
      <c r="T308" s="28"/>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row>
    <row r="309" spans="1:53" s="7" customFormat="1" ht="47.25">
      <c r="A309" s="605"/>
      <c r="B309" s="545"/>
      <c r="C309" s="470"/>
      <c r="D309" s="166" t="s">
        <v>232</v>
      </c>
      <c r="E309" s="280">
        <v>35</v>
      </c>
      <c r="F309" s="257" t="s">
        <v>96</v>
      </c>
      <c r="G309" s="166" t="s">
        <v>504</v>
      </c>
      <c r="H309" s="163">
        <v>10000000</v>
      </c>
      <c r="I309" s="284">
        <f>10*5</f>
        <v>50</v>
      </c>
      <c r="J309" s="162">
        <v>500000000</v>
      </c>
      <c r="K309" s="162">
        <v>0</v>
      </c>
      <c r="L309" s="162">
        <v>0</v>
      </c>
      <c r="M309" s="162">
        <v>0</v>
      </c>
      <c r="N309" s="162">
        <v>0</v>
      </c>
      <c r="O309" s="46">
        <f t="shared" si="33"/>
        <v>1000000</v>
      </c>
      <c r="P309" s="163">
        <f t="shared" si="34"/>
        <v>500000000</v>
      </c>
      <c r="Q309" s="115" t="s">
        <v>594</v>
      </c>
      <c r="R309" s="115" t="s">
        <v>508</v>
      </c>
      <c r="S309" s="244"/>
      <c r="T309" s="28"/>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row>
    <row r="310" spans="1:53" s="79" customFormat="1" ht="63">
      <c r="A310" s="605"/>
      <c r="B310" s="545"/>
      <c r="C310" s="121" t="s">
        <v>1073</v>
      </c>
      <c r="D310" s="166" t="s">
        <v>233</v>
      </c>
      <c r="E310" s="382">
        <v>0</v>
      </c>
      <c r="F310" s="290">
        <v>4</v>
      </c>
      <c r="G310" s="115" t="s">
        <v>234</v>
      </c>
      <c r="H310" s="163">
        <v>500000</v>
      </c>
      <c r="I310" s="247">
        <v>200</v>
      </c>
      <c r="J310" s="162">
        <v>35000000</v>
      </c>
      <c r="K310" s="162">
        <v>35000000</v>
      </c>
      <c r="L310" s="162">
        <v>30000000</v>
      </c>
      <c r="M310" s="162"/>
      <c r="N310" s="162"/>
      <c r="O310" s="46">
        <f t="shared" si="33"/>
        <v>200000</v>
      </c>
      <c r="P310" s="163">
        <f t="shared" si="34"/>
        <v>100000000</v>
      </c>
      <c r="Q310" s="115" t="s">
        <v>507</v>
      </c>
      <c r="R310" s="115" t="s">
        <v>230</v>
      </c>
      <c r="S310" s="253">
        <f>P310+P297+P299+P300</f>
        <v>1102200000</v>
      </c>
      <c r="T310" s="28"/>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row>
    <row r="311" spans="1:53" s="60" customFormat="1" ht="47.25">
      <c r="A311" s="605"/>
      <c r="B311" s="545"/>
      <c r="C311" s="334" t="s">
        <v>1074</v>
      </c>
      <c r="D311" s="166" t="s">
        <v>235</v>
      </c>
      <c r="E311" s="280">
        <v>91</v>
      </c>
      <c r="F311" s="257">
        <v>101</v>
      </c>
      <c r="G311" s="115" t="s">
        <v>489</v>
      </c>
      <c r="H311" s="163">
        <v>50000000</v>
      </c>
      <c r="I311" s="247">
        <v>20</v>
      </c>
      <c r="J311" s="162">
        <v>500000000</v>
      </c>
      <c r="K311" s="162">
        <v>250000000</v>
      </c>
      <c r="L311" s="162">
        <v>250000000</v>
      </c>
      <c r="M311" s="162"/>
      <c r="N311" s="162"/>
      <c r="O311" s="46">
        <f t="shared" si="33"/>
        <v>2000000</v>
      </c>
      <c r="P311" s="163">
        <f t="shared" si="34"/>
        <v>1000000000</v>
      </c>
      <c r="Q311" s="115" t="s">
        <v>115</v>
      </c>
      <c r="R311" s="115" t="s">
        <v>230</v>
      </c>
      <c r="S311" s="244"/>
      <c r="T311" s="28"/>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row>
    <row r="312" spans="1:53" s="7" customFormat="1" ht="75" customHeight="1">
      <c r="A312" s="605"/>
      <c r="B312" s="545"/>
      <c r="C312" s="456" t="s">
        <v>1075</v>
      </c>
      <c r="D312" s="166" t="s">
        <v>236</v>
      </c>
      <c r="E312" s="280">
        <v>0</v>
      </c>
      <c r="F312" s="257">
        <v>31</v>
      </c>
      <c r="G312" s="115" t="s">
        <v>499</v>
      </c>
      <c r="H312" s="163">
        <v>50000000</v>
      </c>
      <c r="I312" s="247">
        <v>5</v>
      </c>
      <c r="J312" s="162">
        <v>50000000</v>
      </c>
      <c r="K312" s="162">
        <v>50000000</v>
      </c>
      <c r="L312" s="162">
        <v>50000000</v>
      </c>
      <c r="M312" s="162">
        <v>50000000</v>
      </c>
      <c r="N312" s="162">
        <v>50000000</v>
      </c>
      <c r="O312" s="46">
        <f>P312/500</f>
        <v>500000</v>
      </c>
      <c r="P312" s="163">
        <f>H312*I312</f>
        <v>250000000</v>
      </c>
      <c r="Q312" s="115" t="s">
        <v>594</v>
      </c>
      <c r="R312" s="115" t="s">
        <v>505</v>
      </c>
      <c r="S312" s="383"/>
      <c r="T312" s="28"/>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row>
    <row r="313" spans="1:53" s="108" customFormat="1" ht="63">
      <c r="A313" s="605"/>
      <c r="B313" s="545"/>
      <c r="C313" s="457"/>
      <c r="D313" s="166" t="s">
        <v>236</v>
      </c>
      <c r="E313" s="280">
        <v>0</v>
      </c>
      <c r="F313" s="257">
        <v>31</v>
      </c>
      <c r="G313" s="115" t="s">
        <v>499</v>
      </c>
      <c r="H313" s="163">
        <v>50000000</v>
      </c>
      <c r="I313" s="247">
        <v>5</v>
      </c>
      <c r="J313" s="162">
        <v>50000000</v>
      </c>
      <c r="K313" s="162">
        <v>50000000</v>
      </c>
      <c r="L313" s="162">
        <v>50000000</v>
      </c>
      <c r="M313" s="162">
        <v>50000000</v>
      </c>
      <c r="N313" s="162">
        <v>50000000</v>
      </c>
      <c r="O313" s="46">
        <f>P313/500</f>
        <v>500000</v>
      </c>
      <c r="P313" s="163">
        <f>H313*I313</f>
        <v>250000000</v>
      </c>
      <c r="Q313" s="115" t="s">
        <v>119</v>
      </c>
      <c r="R313" s="115" t="s">
        <v>505</v>
      </c>
      <c r="S313" s="383">
        <v>250000000</v>
      </c>
      <c r="T313" s="28"/>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row>
    <row r="314" spans="1:53" s="60" customFormat="1" ht="78.75">
      <c r="A314" s="605"/>
      <c r="B314" s="545" t="s">
        <v>1076</v>
      </c>
      <c r="C314" s="115" t="s">
        <v>1077</v>
      </c>
      <c r="D314" s="115" t="s">
        <v>237</v>
      </c>
      <c r="E314" s="384">
        <v>0</v>
      </c>
      <c r="F314" s="328">
        <v>8</v>
      </c>
      <c r="G314" s="115" t="s">
        <v>238</v>
      </c>
      <c r="H314" s="162">
        <f>50000000/5</f>
        <v>10000000</v>
      </c>
      <c r="I314" s="247">
        <v>5</v>
      </c>
      <c r="J314" s="163">
        <v>10000000</v>
      </c>
      <c r="K314" s="163">
        <v>10000000</v>
      </c>
      <c r="L314" s="163">
        <v>10000000</v>
      </c>
      <c r="M314" s="163">
        <v>10000000</v>
      </c>
      <c r="N314" s="163">
        <v>10000000</v>
      </c>
      <c r="O314" s="46">
        <f t="shared" si="33"/>
        <v>100000</v>
      </c>
      <c r="P314" s="163">
        <f>H314*I314</f>
        <v>50000000</v>
      </c>
      <c r="Q314" s="115" t="s">
        <v>506</v>
      </c>
      <c r="R314" s="115"/>
      <c r="S314" s="253">
        <f>S313+P309+P306+P305+P304+P291+P290</f>
        <v>7688000000</v>
      </c>
      <c r="T314" s="28"/>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row>
    <row r="315" spans="1:53" s="60" customFormat="1" ht="78.75">
      <c r="A315" s="605"/>
      <c r="B315" s="545"/>
      <c r="C315" s="166" t="s">
        <v>1078</v>
      </c>
      <c r="D315" s="166" t="s">
        <v>239</v>
      </c>
      <c r="E315" s="280" t="s">
        <v>96</v>
      </c>
      <c r="F315" s="257" t="s">
        <v>96</v>
      </c>
      <c r="G315" s="115" t="s">
        <v>500</v>
      </c>
      <c r="H315" s="328" t="s">
        <v>28</v>
      </c>
      <c r="I315" s="284"/>
      <c r="J315" s="162"/>
      <c r="K315" s="162"/>
      <c r="L315" s="162"/>
      <c r="M315" s="162"/>
      <c r="N315" s="162"/>
      <c r="O315" s="46">
        <f t="shared" si="33"/>
        <v>0</v>
      </c>
      <c r="P315" s="163"/>
      <c r="Q315" s="115" t="s">
        <v>115</v>
      </c>
      <c r="R315" s="115" t="s">
        <v>710</v>
      </c>
      <c r="S315" s="244"/>
      <c r="T315" s="28"/>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row>
    <row r="316" spans="1:53" s="60" customFormat="1" ht="47.25">
      <c r="A316" s="605"/>
      <c r="B316" s="545"/>
      <c r="C316" s="464" t="s">
        <v>1079</v>
      </c>
      <c r="D316" s="115" t="s">
        <v>240</v>
      </c>
      <c r="E316" s="475" t="s">
        <v>96</v>
      </c>
      <c r="F316" s="475" t="s">
        <v>96</v>
      </c>
      <c r="G316" s="115" t="s">
        <v>241</v>
      </c>
      <c r="H316" s="162">
        <v>150000000</v>
      </c>
      <c r="I316" s="247" t="s">
        <v>28</v>
      </c>
      <c r="J316" s="163">
        <v>30000000</v>
      </c>
      <c r="K316" s="163">
        <v>30000000</v>
      </c>
      <c r="L316" s="163">
        <v>30000000</v>
      </c>
      <c r="M316" s="163">
        <v>30000000</v>
      </c>
      <c r="N316" s="163">
        <v>30000000</v>
      </c>
      <c r="O316" s="46">
        <f>P316/500</f>
        <v>300000</v>
      </c>
      <c r="P316" s="163">
        <f>H316*1</f>
        <v>150000000</v>
      </c>
      <c r="Q316" s="115" t="s">
        <v>115</v>
      </c>
      <c r="R316" s="115" t="s">
        <v>242</v>
      </c>
      <c r="S316" s="244"/>
      <c r="T316" s="28"/>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row>
    <row r="317" spans="1:53" s="60" customFormat="1" ht="63">
      <c r="A317" s="605"/>
      <c r="B317" s="545"/>
      <c r="C317" s="464"/>
      <c r="D317" s="237"/>
      <c r="E317" s="476"/>
      <c r="F317" s="476"/>
      <c r="G317" s="115" t="s">
        <v>584</v>
      </c>
      <c r="H317" s="163">
        <v>1000000000</v>
      </c>
      <c r="I317" s="247">
        <v>5</v>
      </c>
      <c r="J317" s="163">
        <f>0</f>
        <v>0</v>
      </c>
      <c r="K317" s="163">
        <v>2000000000</v>
      </c>
      <c r="L317" s="163">
        <v>2000000000</v>
      </c>
      <c r="M317" s="163">
        <f>0</f>
        <v>0</v>
      </c>
      <c r="N317" s="163">
        <f>1*H317</f>
        <v>1000000000</v>
      </c>
      <c r="O317" s="46">
        <f t="shared" si="33"/>
        <v>10000000</v>
      </c>
      <c r="P317" s="163">
        <f>H317*I317</f>
        <v>5000000000</v>
      </c>
      <c r="Q317" s="115" t="s">
        <v>115</v>
      </c>
      <c r="R317" s="115" t="s">
        <v>242</v>
      </c>
      <c r="S317" s="244"/>
      <c r="T317" s="28"/>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row>
    <row r="318" spans="1:53" s="60" customFormat="1" ht="31.5">
      <c r="A318" s="605"/>
      <c r="B318" s="545"/>
      <c r="C318" s="464"/>
      <c r="D318" s="241"/>
      <c r="E318" s="477"/>
      <c r="F318" s="477"/>
      <c r="G318" s="115" t="s">
        <v>244</v>
      </c>
      <c r="H318" s="162">
        <v>27000000</v>
      </c>
      <c r="I318" s="247">
        <v>6</v>
      </c>
      <c r="J318" s="163">
        <f>0</f>
        <v>0</v>
      </c>
      <c r="K318" s="163">
        <f>2*H318</f>
        <v>54000000</v>
      </c>
      <c r="L318" s="163">
        <f>2*H318</f>
        <v>54000000</v>
      </c>
      <c r="M318" s="163"/>
      <c r="N318" s="163">
        <f>2*H318</f>
        <v>54000000</v>
      </c>
      <c r="O318" s="46">
        <f t="shared" si="33"/>
        <v>324000</v>
      </c>
      <c r="P318" s="163">
        <f>H318*I318</f>
        <v>162000000</v>
      </c>
      <c r="Q318" s="115" t="s">
        <v>115</v>
      </c>
      <c r="R318" s="115" t="s">
        <v>242</v>
      </c>
      <c r="S318" s="244"/>
      <c r="T318" s="28"/>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row>
    <row r="319" spans="1:53" s="60" customFormat="1" ht="43.5" customHeight="1">
      <c r="A319" s="605"/>
      <c r="B319" s="545"/>
      <c r="C319" s="258" t="s">
        <v>1080</v>
      </c>
      <c r="D319" s="166" t="s">
        <v>245</v>
      </c>
      <c r="E319" s="280">
        <v>186</v>
      </c>
      <c r="F319" s="330">
        <v>300</v>
      </c>
      <c r="G319" s="115" t="s">
        <v>501</v>
      </c>
      <c r="H319" s="162">
        <v>3500000</v>
      </c>
      <c r="I319" s="247">
        <v>20</v>
      </c>
      <c r="J319" s="162"/>
      <c r="K319" s="162">
        <f>10*H319</f>
        <v>35000000</v>
      </c>
      <c r="L319" s="162">
        <f>5*H319</f>
        <v>17500000</v>
      </c>
      <c r="M319" s="162">
        <f>5*H319</f>
        <v>17500000</v>
      </c>
      <c r="N319" s="162"/>
      <c r="O319" s="46">
        <f>P319/500</f>
        <v>140000</v>
      </c>
      <c r="P319" s="163">
        <f>H319*I319</f>
        <v>70000000</v>
      </c>
      <c r="Q319" s="115" t="s">
        <v>115</v>
      </c>
      <c r="R319" s="115" t="s">
        <v>242</v>
      </c>
      <c r="S319" s="253">
        <f>P319+P318+P317+P316+P314+P308</f>
        <v>5557000000</v>
      </c>
      <c r="T319" s="28"/>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row>
    <row r="320" spans="1:53" s="71" customFormat="1" ht="22.5" customHeight="1">
      <c r="A320" s="424" t="s">
        <v>568</v>
      </c>
      <c r="B320" s="425"/>
      <c r="C320" s="425"/>
      <c r="D320" s="425"/>
      <c r="E320" s="425"/>
      <c r="F320" s="425"/>
      <c r="G320" s="426"/>
      <c r="H320" s="174"/>
      <c r="I320" s="320"/>
      <c r="J320" s="174">
        <f>SUM(J304:J319)</f>
        <v>1527500000</v>
      </c>
      <c r="K320" s="174">
        <f>SUM(K304:K319)</f>
        <v>2646500000</v>
      </c>
      <c r="L320" s="174">
        <f>SUM(L304:L319)</f>
        <v>2561500000</v>
      </c>
      <c r="M320" s="174">
        <f>SUM(M304:M319)</f>
        <v>227500000</v>
      </c>
      <c r="N320" s="174">
        <f>SUM(N304:N319)</f>
        <v>1264000000</v>
      </c>
      <c r="O320" s="385"/>
      <c r="P320" s="320">
        <f>SUM(P304:P319)</f>
        <v>8227000000</v>
      </c>
      <c r="Q320" s="345"/>
      <c r="R320" s="321"/>
      <c r="S320" s="346"/>
      <c r="T320" s="223"/>
      <c r="U320" s="224"/>
      <c r="V320" s="224"/>
      <c r="W320" s="224"/>
      <c r="X320" s="224"/>
      <c r="Y320" s="224"/>
      <c r="Z320" s="224"/>
      <c r="AA320" s="224"/>
      <c r="AB320" s="224"/>
      <c r="AC320" s="224"/>
      <c r="AD320" s="224"/>
      <c r="AE320" s="224"/>
      <c r="AF320" s="224"/>
      <c r="AG320" s="224"/>
      <c r="AH320" s="224"/>
      <c r="AI320" s="224"/>
      <c r="AJ320" s="224"/>
      <c r="AK320" s="224"/>
      <c r="AL320" s="224"/>
      <c r="AM320" s="224"/>
      <c r="AN320" s="224"/>
      <c r="AO320" s="224"/>
      <c r="AP320" s="224"/>
      <c r="AQ320" s="224"/>
      <c r="AR320" s="224"/>
      <c r="AS320" s="224"/>
      <c r="AT320" s="224"/>
      <c r="AU320" s="224"/>
      <c r="AV320" s="224"/>
      <c r="AW320" s="224"/>
      <c r="AX320" s="224"/>
      <c r="AY320" s="224"/>
      <c r="AZ320" s="224"/>
      <c r="BA320" s="224"/>
    </row>
    <row r="321" spans="1:53" ht="15.75">
      <c r="A321" s="612" t="s">
        <v>76</v>
      </c>
      <c r="B321" s="613"/>
      <c r="C321" s="613"/>
      <c r="D321" s="613"/>
      <c r="E321" s="172"/>
      <c r="F321" s="172"/>
      <c r="G321" s="386"/>
      <c r="H321" s="323"/>
      <c r="I321" s="172"/>
      <c r="J321" s="172">
        <f>SUM(J289:J302)+SUM(J304:J319)</f>
        <v>9372540000</v>
      </c>
      <c r="K321" s="172">
        <f>SUM(K289:K302)+SUM(K304:K319)</f>
        <v>9404540000</v>
      </c>
      <c r="L321" s="172">
        <f>SUM(L289:L302)+SUM(L304:L319)</f>
        <v>6044540000</v>
      </c>
      <c r="M321" s="172">
        <f>SUM(M289:M302)+SUM(M304:M319)</f>
        <v>3696540000</v>
      </c>
      <c r="N321" s="172">
        <f>SUM(N289:N302)+SUM(N304:N319)</f>
        <v>2559040000</v>
      </c>
      <c r="O321" s="387"/>
      <c r="P321" s="172">
        <f>SUM(P289:P302)+SUM(P304:P319)</f>
        <v>31077200000</v>
      </c>
      <c r="Q321" s="361">
        <f>N321+M321+L321+K321+J321</f>
        <v>31077200000</v>
      </c>
      <c r="R321" s="324"/>
      <c r="S321" s="326"/>
      <c r="T321" s="3"/>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1:53" ht="15.75">
      <c r="A322" s="523" t="s">
        <v>703</v>
      </c>
      <c r="B322" s="524"/>
      <c r="C322" s="524"/>
      <c r="D322" s="524"/>
      <c r="E322" s="524"/>
      <c r="F322" s="524"/>
      <c r="G322" s="524"/>
      <c r="H322" s="524"/>
      <c r="I322" s="524"/>
      <c r="J322" s="524"/>
      <c r="K322" s="524"/>
      <c r="L322" s="524"/>
      <c r="M322" s="524"/>
      <c r="N322" s="524"/>
      <c r="O322" s="524"/>
      <c r="P322" s="524"/>
      <c r="Q322" s="524"/>
      <c r="R322" s="524"/>
      <c r="S322" s="552"/>
      <c r="T322" s="28"/>
      <c r="U322" s="3"/>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1:53" s="99" customFormat="1" ht="53.25" customHeight="1">
      <c r="A323" s="388" t="s">
        <v>1081</v>
      </c>
      <c r="B323" s="545" t="s">
        <v>1082</v>
      </c>
      <c r="C323" s="464" t="s">
        <v>1083</v>
      </c>
      <c r="D323" s="614" t="s">
        <v>246</v>
      </c>
      <c r="E323" s="466">
        <v>0.68</v>
      </c>
      <c r="F323" s="466">
        <v>1</v>
      </c>
      <c r="G323" s="115" t="s">
        <v>582</v>
      </c>
      <c r="H323" s="163">
        <v>120000000</v>
      </c>
      <c r="I323" s="389">
        <v>134</v>
      </c>
      <c r="J323" s="162">
        <f>40*120000000</f>
        <v>4800000000</v>
      </c>
      <c r="K323" s="162">
        <f>60*120000000</f>
        <v>7200000000</v>
      </c>
      <c r="L323" s="162">
        <f>34*120000000</f>
        <v>4080000000</v>
      </c>
      <c r="M323" s="162"/>
      <c r="N323" s="162"/>
      <c r="O323" s="46">
        <f aca="true" t="shared" si="35" ref="O323:O340">P323/500</f>
        <v>32160000</v>
      </c>
      <c r="P323" s="163">
        <f aca="true" t="shared" si="36" ref="P323:P329">H323*I323</f>
        <v>16080000000</v>
      </c>
      <c r="Q323" s="115" t="s">
        <v>247</v>
      </c>
      <c r="R323" s="115"/>
      <c r="S323" s="244"/>
      <c r="T323" s="28"/>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row>
    <row r="324" spans="1:53" s="99" customFormat="1" ht="33" customHeight="1">
      <c r="A324" s="372"/>
      <c r="B324" s="545"/>
      <c r="C324" s="464"/>
      <c r="D324" s="614"/>
      <c r="E324" s="466"/>
      <c r="F324" s="466"/>
      <c r="G324" s="115" t="s">
        <v>248</v>
      </c>
      <c r="H324" s="163">
        <v>9500000</v>
      </c>
      <c r="I324" s="390">
        <f>7000/2*20%</f>
        <v>700</v>
      </c>
      <c r="J324" s="162">
        <f>150*9500000</f>
        <v>1425000000</v>
      </c>
      <c r="K324" s="162">
        <f>225*9500000</f>
        <v>2137500000</v>
      </c>
      <c r="L324" s="162">
        <f>225*9500000</f>
        <v>2137500000</v>
      </c>
      <c r="M324" s="162">
        <f>100*9500000</f>
        <v>950000000</v>
      </c>
      <c r="N324" s="391"/>
      <c r="O324" s="46">
        <f t="shared" si="35"/>
        <v>13300000</v>
      </c>
      <c r="P324" s="163">
        <f t="shared" si="36"/>
        <v>6650000000</v>
      </c>
      <c r="Q324" s="115"/>
      <c r="R324" s="115"/>
      <c r="S324" s="244"/>
      <c r="T324" s="28"/>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row>
    <row r="325" spans="1:53" s="99" customFormat="1" ht="31.5" customHeight="1">
      <c r="A325" s="372"/>
      <c r="B325" s="545"/>
      <c r="C325" s="464" t="s">
        <v>1084</v>
      </c>
      <c r="D325" s="614" t="s">
        <v>249</v>
      </c>
      <c r="E325" s="465"/>
      <c r="F325" s="465"/>
      <c r="G325" s="115" t="s">
        <v>250</v>
      </c>
      <c r="H325" s="163">
        <v>850000</v>
      </c>
      <c r="I325" s="284">
        <f>6000*5/2*20%</f>
        <v>3000</v>
      </c>
      <c r="J325" s="162">
        <f>600*850000</f>
        <v>510000000</v>
      </c>
      <c r="K325" s="162">
        <f>600*850000</f>
        <v>510000000</v>
      </c>
      <c r="L325" s="162">
        <f>600*850000</f>
        <v>510000000</v>
      </c>
      <c r="M325" s="162">
        <f>600*850000</f>
        <v>510000000</v>
      </c>
      <c r="N325" s="162">
        <f>600*850000</f>
        <v>510000000</v>
      </c>
      <c r="O325" s="46">
        <f t="shared" si="35"/>
        <v>5100000</v>
      </c>
      <c r="P325" s="163">
        <f>H325*I325</f>
        <v>2550000000</v>
      </c>
      <c r="Q325" s="115" t="s">
        <v>247</v>
      </c>
      <c r="R325" s="115"/>
      <c r="S325" s="244"/>
      <c r="T325" s="28"/>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row>
    <row r="326" spans="1:53" s="99" customFormat="1" ht="31.5">
      <c r="A326" s="372"/>
      <c r="B326" s="545"/>
      <c r="C326" s="464"/>
      <c r="D326" s="614"/>
      <c r="E326" s="465"/>
      <c r="F326" s="465"/>
      <c r="G326" s="115" t="s">
        <v>251</v>
      </c>
      <c r="H326" s="163">
        <v>600000</v>
      </c>
      <c r="I326" s="284">
        <f>5000*20%</f>
        <v>1000</v>
      </c>
      <c r="J326" s="162">
        <f>200*600000</f>
        <v>120000000</v>
      </c>
      <c r="K326" s="162">
        <f>300*600000</f>
        <v>180000000</v>
      </c>
      <c r="L326" s="162">
        <f>300*600000</f>
        <v>180000000</v>
      </c>
      <c r="M326" s="162">
        <v>90000000</v>
      </c>
      <c r="N326" s="162">
        <v>30000000</v>
      </c>
      <c r="O326" s="46">
        <f>P326/500</f>
        <v>1200000</v>
      </c>
      <c r="P326" s="163">
        <f>H326*I326</f>
        <v>600000000</v>
      </c>
      <c r="Q326" s="115"/>
      <c r="R326" s="115"/>
      <c r="S326" s="244"/>
      <c r="T326" s="28"/>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row>
    <row r="327" spans="1:53" s="99" customFormat="1" ht="78.75">
      <c r="A327" s="372"/>
      <c r="B327" s="545"/>
      <c r="C327" s="166" t="s">
        <v>1085</v>
      </c>
      <c r="D327" s="115" t="s">
        <v>252</v>
      </c>
      <c r="E327" s="265">
        <v>0.4</v>
      </c>
      <c r="F327" s="265">
        <v>0.7</v>
      </c>
      <c r="G327" s="115" t="s">
        <v>253</v>
      </c>
      <c r="H327" s="163">
        <v>70000000</v>
      </c>
      <c r="I327" s="284">
        <v>5</v>
      </c>
      <c r="J327" s="162">
        <v>140000000</v>
      </c>
      <c r="K327" s="162">
        <v>140000000</v>
      </c>
      <c r="L327" s="162">
        <v>70000000</v>
      </c>
      <c r="M327" s="162"/>
      <c r="N327" s="162"/>
      <c r="O327" s="46">
        <f t="shared" si="35"/>
        <v>700000</v>
      </c>
      <c r="P327" s="163">
        <f>H327*I327</f>
        <v>350000000</v>
      </c>
      <c r="Q327" s="115" t="s">
        <v>247</v>
      </c>
      <c r="R327" s="115"/>
      <c r="S327" s="244"/>
      <c r="T327" s="28"/>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row>
    <row r="328" spans="1:53" s="99" customFormat="1" ht="63" customHeight="1">
      <c r="A328" s="372"/>
      <c r="B328" s="545"/>
      <c r="C328" s="464" t="s">
        <v>1086</v>
      </c>
      <c r="D328" s="464" t="s">
        <v>254</v>
      </c>
      <c r="E328" s="466">
        <v>0</v>
      </c>
      <c r="F328" s="445">
        <v>0.7</v>
      </c>
      <c r="G328" s="115" t="s">
        <v>255</v>
      </c>
      <c r="H328" s="163">
        <v>6000000</v>
      </c>
      <c r="I328" s="284">
        <f>5*5</f>
        <v>25</v>
      </c>
      <c r="J328" s="162">
        <v>30000000</v>
      </c>
      <c r="K328" s="162">
        <v>30000000</v>
      </c>
      <c r="L328" s="162">
        <v>30000000</v>
      </c>
      <c r="M328" s="162">
        <v>30000000</v>
      </c>
      <c r="N328" s="162">
        <v>30000000</v>
      </c>
      <c r="O328" s="46">
        <f t="shared" si="35"/>
        <v>300000</v>
      </c>
      <c r="P328" s="163">
        <f t="shared" si="36"/>
        <v>150000000</v>
      </c>
      <c r="Q328" s="115" t="s">
        <v>247</v>
      </c>
      <c r="R328" s="115"/>
      <c r="S328" s="244"/>
      <c r="T328" s="28"/>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row>
    <row r="329" spans="1:53" s="99" customFormat="1" ht="25.5" customHeight="1">
      <c r="A329" s="372"/>
      <c r="B329" s="545"/>
      <c r="C329" s="464"/>
      <c r="D329" s="464"/>
      <c r="E329" s="466"/>
      <c r="F329" s="447"/>
      <c r="G329" s="115" t="s">
        <v>256</v>
      </c>
      <c r="H329" s="163">
        <v>600000</v>
      </c>
      <c r="I329" s="284">
        <v>150</v>
      </c>
      <c r="J329" s="162">
        <f>75*600000</f>
        <v>45000000</v>
      </c>
      <c r="K329" s="162">
        <f>75*600000</f>
        <v>45000000</v>
      </c>
      <c r="L329" s="162"/>
      <c r="M329" s="162"/>
      <c r="N329" s="162"/>
      <c r="O329" s="46">
        <f t="shared" si="35"/>
        <v>180000</v>
      </c>
      <c r="P329" s="163">
        <f t="shared" si="36"/>
        <v>90000000</v>
      </c>
      <c r="Q329" s="115" t="s">
        <v>247</v>
      </c>
      <c r="R329" s="115"/>
      <c r="S329" s="244"/>
      <c r="T329" s="28"/>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row>
    <row r="330" spans="1:53" s="99" customFormat="1" ht="66" customHeight="1">
      <c r="A330" s="372"/>
      <c r="B330" s="528" t="s">
        <v>1087</v>
      </c>
      <c r="C330" s="121" t="s">
        <v>1088</v>
      </c>
      <c r="D330" s="115" t="s">
        <v>257</v>
      </c>
      <c r="E330" s="265">
        <v>0.3</v>
      </c>
      <c r="F330" s="265">
        <v>1</v>
      </c>
      <c r="G330" s="115" t="s">
        <v>258</v>
      </c>
      <c r="H330" s="163">
        <v>150000</v>
      </c>
      <c r="I330" s="284">
        <f>70000/2*20%</f>
        <v>7000</v>
      </c>
      <c r="J330" s="162">
        <f>2000*150000</f>
        <v>300000000</v>
      </c>
      <c r="K330" s="162">
        <f>2000*150000</f>
        <v>300000000</v>
      </c>
      <c r="L330" s="162">
        <f>2000*150000</f>
        <v>300000000</v>
      </c>
      <c r="M330" s="162">
        <f>500*150000</f>
        <v>75000000</v>
      </c>
      <c r="N330" s="162">
        <f>500*150000</f>
        <v>75000000</v>
      </c>
      <c r="O330" s="46">
        <f t="shared" si="35"/>
        <v>2100000</v>
      </c>
      <c r="P330" s="163">
        <f>H330*I330</f>
        <v>1050000000</v>
      </c>
      <c r="Q330" s="115" t="s">
        <v>247</v>
      </c>
      <c r="R330" s="115"/>
      <c r="S330" s="244"/>
      <c r="T330" s="28"/>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row>
    <row r="331" spans="1:53" s="99" customFormat="1" ht="63">
      <c r="A331" s="373"/>
      <c r="B331" s="529"/>
      <c r="C331" s="121" t="s">
        <v>1089</v>
      </c>
      <c r="D331" s="115" t="s">
        <v>259</v>
      </c>
      <c r="E331" s="265">
        <v>0.39</v>
      </c>
      <c r="F331" s="265">
        <v>0.6</v>
      </c>
      <c r="G331" s="122" t="s">
        <v>583</v>
      </c>
      <c r="H331" s="163">
        <v>9500000</v>
      </c>
      <c r="I331" s="247">
        <f>13785/2*60%*20%</f>
        <v>827.1</v>
      </c>
      <c r="J331" s="162">
        <f>177*9500000</f>
        <v>1681500000</v>
      </c>
      <c r="K331" s="162">
        <f>250*9500000</f>
        <v>2375000000</v>
      </c>
      <c r="L331" s="162">
        <f>250*9500000</f>
        <v>2375000000</v>
      </c>
      <c r="M331" s="162">
        <f>150.1*9500000</f>
        <v>1425950000</v>
      </c>
      <c r="N331" s="392"/>
      <c r="O331" s="46">
        <f t="shared" si="35"/>
        <v>15714900</v>
      </c>
      <c r="P331" s="163">
        <f>H331*I331</f>
        <v>7857450000</v>
      </c>
      <c r="Q331" s="115" t="s">
        <v>247</v>
      </c>
      <c r="R331" s="115" t="s">
        <v>70</v>
      </c>
      <c r="S331" s="244"/>
      <c r="T331" s="28"/>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row>
    <row r="332" spans="1:53" s="99" customFormat="1" ht="63">
      <c r="A332" s="393"/>
      <c r="B332" s="553"/>
      <c r="C332" s="121" t="s">
        <v>1090</v>
      </c>
      <c r="D332" s="115" t="s">
        <v>401</v>
      </c>
      <c r="E332" s="265">
        <v>0.39</v>
      </c>
      <c r="F332" s="265">
        <v>0.6</v>
      </c>
      <c r="G332" s="115" t="s">
        <v>900</v>
      </c>
      <c r="H332" s="163">
        <v>9500000</v>
      </c>
      <c r="I332" s="247">
        <f>1975/2*60%*20%</f>
        <v>118.5</v>
      </c>
      <c r="J332" s="162">
        <f>25*9500000</f>
        <v>237500000</v>
      </c>
      <c r="K332" s="162">
        <f>40*9500000</f>
        <v>380000000</v>
      </c>
      <c r="L332" s="162">
        <f>35*9500000</f>
        <v>332500000</v>
      </c>
      <c r="M332" s="162">
        <f>19*9500000</f>
        <v>180500000</v>
      </c>
      <c r="N332" s="392"/>
      <c r="O332" s="46">
        <f t="shared" si="35"/>
        <v>2261000</v>
      </c>
      <c r="P332" s="163">
        <f>J332+K332+L332+M332</f>
        <v>1130500000</v>
      </c>
      <c r="Q332" s="115" t="s">
        <v>247</v>
      </c>
      <c r="R332" s="115" t="s">
        <v>70</v>
      </c>
      <c r="S332" s="244"/>
      <c r="T332" s="28"/>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row>
    <row r="333" spans="1:53" s="71" customFormat="1" ht="18.75">
      <c r="A333" s="424" t="s">
        <v>569</v>
      </c>
      <c r="B333" s="425"/>
      <c r="C333" s="425"/>
      <c r="D333" s="425"/>
      <c r="E333" s="425"/>
      <c r="F333" s="425"/>
      <c r="G333" s="426"/>
      <c r="H333" s="320"/>
      <c r="I333" s="320"/>
      <c r="J333" s="174">
        <f>SUM(J323:J332)</f>
        <v>9289000000</v>
      </c>
      <c r="K333" s="174">
        <f>SUM(K323:K332)</f>
        <v>13297500000</v>
      </c>
      <c r="L333" s="174">
        <f>SUM(L323:L332)</f>
        <v>10015000000</v>
      </c>
      <c r="M333" s="174">
        <f>SUM(M323:M332)</f>
        <v>3261450000</v>
      </c>
      <c r="N333" s="394">
        <f>SUM(N323:N332)</f>
        <v>645000000</v>
      </c>
      <c r="O333" s="385">
        <f t="shared" si="35"/>
        <v>73015900</v>
      </c>
      <c r="P333" s="320">
        <f>SUM(P323:P332)</f>
        <v>36507950000</v>
      </c>
      <c r="Q333" s="345"/>
      <c r="R333" s="345"/>
      <c r="S333" s="346"/>
      <c r="T333" s="223"/>
      <c r="U333" s="224"/>
      <c r="V333" s="224"/>
      <c r="W333" s="224"/>
      <c r="X333" s="224"/>
      <c r="Y333" s="224"/>
      <c r="Z333" s="224"/>
      <c r="AA333" s="224"/>
      <c r="AB333" s="224"/>
      <c r="AC333" s="224"/>
      <c r="AD333" s="224"/>
      <c r="AE333" s="224"/>
      <c r="AF333" s="224"/>
      <c r="AG333" s="224"/>
      <c r="AH333" s="224"/>
      <c r="AI333" s="224"/>
      <c r="AJ333" s="224"/>
      <c r="AK333" s="224"/>
      <c r="AL333" s="224"/>
      <c r="AM333" s="224"/>
      <c r="AN333" s="224"/>
      <c r="AO333" s="224"/>
      <c r="AP333" s="224"/>
      <c r="AQ333" s="224"/>
      <c r="AR333" s="224"/>
      <c r="AS333" s="224"/>
      <c r="AT333" s="224"/>
      <c r="AU333" s="224"/>
      <c r="AV333" s="224"/>
      <c r="AW333" s="224"/>
      <c r="AX333" s="224"/>
      <c r="AY333" s="224"/>
      <c r="AZ333" s="224"/>
      <c r="BA333" s="224"/>
    </row>
    <row r="334" spans="1:53" s="101" customFormat="1" ht="69.75" customHeight="1">
      <c r="A334" s="617" t="s">
        <v>1091</v>
      </c>
      <c r="B334" s="501" t="s">
        <v>1092</v>
      </c>
      <c r="C334" s="166" t="s">
        <v>1093</v>
      </c>
      <c r="D334" s="115" t="s">
        <v>260</v>
      </c>
      <c r="E334" s="278">
        <v>0.41</v>
      </c>
      <c r="F334" s="265">
        <v>0.6</v>
      </c>
      <c r="G334" s="115" t="s">
        <v>402</v>
      </c>
      <c r="H334" s="163">
        <v>5000000</v>
      </c>
      <c r="I334" s="247">
        <f>13785/2*60%*20%</f>
        <v>827.1</v>
      </c>
      <c r="J334" s="162">
        <f>200*5000000</f>
        <v>1000000000</v>
      </c>
      <c r="K334" s="162">
        <f>300*5000000</f>
        <v>1500000000</v>
      </c>
      <c r="L334" s="162">
        <f>200*5000000</f>
        <v>1000000000</v>
      </c>
      <c r="M334" s="162">
        <f>127.1*5000000</f>
        <v>635500000</v>
      </c>
      <c r="N334" s="392"/>
      <c r="O334" s="46">
        <f t="shared" si="35"/>
        <v>8271000</v>
      </c>
      <c r="P334" s="163">
        <f>H334*I334</f>
        <v>4135500000</v>
      </c>
      <c r="Q334" s="115" t="s">
        <v>614</v>
      </c>
      <c r="R334" s="115" t="s">
        <v>70</v>
      </c>
      <c r="S334" s="244"/>
      <c r="T334" s="28"/>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row>
    <row r="335" spans="1:53" s="7" customFormat="1" ht="71.25" customHeight="1">
      <c r="A335" s="617"/>
      <c r="B335" s="502"/>
      <c r="C335" s="121" t="s">
        <v>1094</v>
      </c>
      <c r="D335" s="115" t="s">
        <v>405</v>
      </c>
      <c r="E335" s="278">
        <v>0.41</v>
      </c>
      <c r="F335" s="265">
        <v>0.6</v>
      </c>
      <c r="G335" s="115" t="s">
        <v>490</v>
      </c>
      <c r="H335" s="163">
        <v>5000000</v>
      </c>
      <c r="I335" s="247">
        <f>1975/2*60%*20%</f>
        <v>118.5</v>
      </c>
      <c r="J335" s="162">
        <f>25*5000000</f>
        <v>125000000</v>
      </c>
      <c r="K335" s="162">
        <f>40*5000000</f>
        <v>200000000</v>
      </c>
      <c r="L335" s="162">
        <f>35*5000000</f>
        <v>175000000</v>
      </c>
      <c r="M335" s="162">
        <f>19*H335</f>
        <v>95000000</v>
      </c>
      <c r="N335" s="162"/>
      <c r="O335" s="46">
        <f t="shared" si="35"/>
        <v>1190000</v>
      </c>
      <c r="P335" s="163">
        <f>M335+L335+K335+J335</f>
        <v>595000000</v>
      </c>
      <c r="Q335" s="115" t="s">
        <v>594</v>
      </c>
      <c r="R335" s="115" t="s">
        <v>594</v>
      </c>
      <c r="S335" s="244"/>
      <c r="T335" s="28"/>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row>
    <row r="336" spans="1:53" s="101" customFormat="1" ht="83.25" customHeight="1">
      <c r="A336" s="617"/>
      <c r="B336" s="502"/>
      <c r="C336" s="121" t="s">
        <v>1095</v>
      </c>
      <c r="D336" s="115" t="s">
        <v>261</v>
      </c>
      <c r="E336" s="278">
        <v>0.18</v>
      </c>
      <c r="F336" s="265">
        <v>0.6</v>
      </c>
      <c r="G336" s="115" t="s">
        <v>262</v>
      </c>
      <c r="H336" s="163">
        <v>400000</v>
      </c>
      <c r="I336" s="247">
        <f>13785*70%*20%</f>
        <v>1929.9</v>
      </c>
      <c r="J336" s="162">
        <f>430*400000</f>
        <v>172000000</v>
      </c>
      <c r="K336" s="162">
        <f>600*400000</f>
        <v>240000000</v>
      </c>
      <c r="L336" s="162">
        <f>600*400000</f>
        <v>240000000</v>
      </c>
      <c r="M336" s="162">
        <f>300*400000</f>
        <v>120000000</v>
      </c>
      <c r="N336" s="162"/>
      <c r="O336" s="46">
        <f t="shared" si="35"/>
        <v>1544000</v>
      </c>
      <c r="P336" s="163">
        <f>M336+L336+K336+J336</f>
        <v>772000000</v>
      </c>
      <c r="Q336" s="115" t="s">
        <v>614</v>
      </c>
      <c r="R336" s="115" t="s">
        <v>594</v>
      </c>
      <c r="S336" s="244"/>
      <c r="T336" s="28"/>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row>
    <row r="337" spans="1:53" s="7" customFormat="1" ht="95.25" customHeight="1">
      <c r="A337" s="617"/>
      <c r="B337" s="502"/>
      <c r="C337" s="121" t="s">
        <v>1096</v>
      </c>
      <c r="D337" s="115" t="s">
        <v>406</v>
      </c>
      <c r="E337" s="278">
        <v>0.18</v>
      </c>
      <c r="F337" s="265">
        <v>0.6</v>
      </c>
      <c r="G337" s="115" t="s">
        <v>901</v>
      </c>
      <c r="H337" s="163">
        <v>400000</v>
      </c>
      <c r="I337" s="247">
        <f>1975*70%*20%</f>
        <v>276.5</v>
      </c>
      <c r="J337" s="162">
        <f>75*400000</f>
        <v>30000000</v>
      </c>
      <c r="K337" s="162">
        <f>100*400000</f>
        <v>40000000</v>
      </c>
      <c r="L337" s="162">
        <f>62*400000</f>
        <v>24800000</v>
      </c>
      <c r="M337" s="162">
        <f>40*400000</f>
        <v>16000000</v>
      </c>
      <c r="N337" s="162">
        <v>0</v>
      </c>
      <c r="O337" s="46">
        <f t="shared" si="35"/>
        <v>221600</v>
      </c>
      <c r="P337" s="163">
        <f>M337+L337+K337+J337</f>
        <v>110800000</v>
      </c>
      <c r="Q337" s="115" t="s">
        <v>594</v>
      </c>
      <c r="R337" s="115"/>
      <c r="S337" s="244"/>
      <c r="T337" s="28"/>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row>
    <row r="338" spans="1:53" s="7" customFormat="1" ht="70.5" customHeight="1">
      <c r="A338" s="617"/>
      <c r="B338" s="502"/>
      <c r="C338" s="501" t="s">
        <v>1097</v>
      </c>
      <c r="D338" s="166" t="s">
        <v>263</v>
      </c>
      <c r="E338" s="278">
        <v>0.06</v>
      </c>
      <c r="F338" s="265">
        <v>0.8</v>
      </c>
      <c r="G338" s="115" t="s">
        <v>403</v>
      </c>
      <c r="H338" s="162">
        <v>350000</v>
      </c>
      <c r="I338" s="247">
        <f>12*5</f>
        <v>60</v>
      </c>
      <c r="J338" s="162">
        <f>12*350000</f>
        <v>4200000</v>
      </c>
      <c r="K338" s="162">
        <f>12*350000</f>
        <v>4200000</v>
      </c>
      <c r="L338" s="162">
        <f>12*350000</f>
        <v>4200000</v>
      </c>
      <c r="M338" s="162">
        <f>12*350000</f>
        <v>4200000</v>
      </c>
      <c r="N338" s="162">
        <f>12*350000</f>
        <v>4200000</v>
      </c>
      <c r="O338" s="46">
        <f t="shared" si="35"/>
        <v>42000</v>
      </c>
      <c r="P338" s="163">
        <f>H338*I338</f>
        <v>21000000</v>
      </c>
      <c r="Q338" s="115" t="s">
        <v>594</v>
      </c>
      <c r="R338" s="115"/>
      <c r="S338" s="201"/>
      <c r="T338" s="28"/>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row>
    <row r="339" spans="1:53" s="7" customFormat="1" ht="70.5" customHeight="1">
      <c r="A339" s="617"/>
      <c r="B339" s="503"/>
      <c r="C339" s="503"/>
      <c r="D339" s="166"/>
      <c r="E339" s="395">
        <v>0</v>
      </c>
      <c r="F339" s="290">
        <v>300</v>
      </c>
      <c r="G339" s="115" t="s">
        <v>407</v>
      </c>
      <c r="H339" s="162">
        <v>5000000</v>
      </c>
      <c r="I339" s="247">
        <f>(12*5)*5*20%</f>
        <v>60</v>
      </c>
      <c r="J339" s="162">
        <f>60000000</f>
        <v>60000000</v>
      </c>
      <c r="K339" s="162">
        <f>60000000</f>
        <v>60000000</v>
      </c>
      <c r="L339" s="162">
        <f>60000000</f>
        <v>60000000</v>
      </c>
      <c r="M339" s="162">
        <f>60000000</f>
        <v>60000000</v>
      </c>
      <c r="N339" s="162">
        <f>60000000</f>
        <v>60000000</v>
      </c>
      <c r="O339" s="46">
        <f t="shared" si="35"/>
        <v>600000</v>
      </c>
      <c r="P339" s="163">
        <f>H339*I339</f>
        <v>300000000</v>
      </c>
      <c r="Q339" s="115" t="s">
        <v>594</v>
      </c>
      <c r="R339" s="115"/>
      <c r="S339" s="201"/>
      <c r="T339" s="28"/>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row>
    <row r="340" spans="1:53" s="7" customFormat="1" ht="62.25" customHeight="1">
      <c r="A340" s="617"/>
      <c r="B340" s="458" t="s">
        <v>1098</v>
      </c>
      <c r="C340" s="121" t="s">
        <v>1099</v>
      </c>
      <c r="D340" s="115" t="s">
        <v>264</v>
      </c>
      <c r="E340" s="278">
        <v>0.06</v>
      </c>
      <c r="F340" s="265">
        <v>0.8</v>
      </c>
      <c r="G340" s="464" t="s">
        <v>265</v>
      </c>
      <c r="H340" s="616">
        <f>5*500*1000</f>
        <v>2500000</v>
      </c>
      <c r="I340" s="450">
        <f>4000*20%</f>
        <v>800</v>
      </c>
      <c r="J340" s="162">
        <f>200*H340</f>
        <v>500000000</v>
      </c>
      <c r="K340" s="162">
        <f>J340</f>
        <v>500000000</v>
      </c>
      <c r="L340" s="162">
        <f>K340</f>
        <v>500000000</v>
      </c>
      <c r="M340" s="162">
        <f>L340</f>
        <v>500000000</v>
      </c>
      <c r="N340" s="162"/>
      <c r="O340" s="46">
        <f t="shared" si="35"/>
        <v>4000000</v>
      </c>
      <c r="P340" s="616">
        <f>H340*I340</f>
        <v>2000000000</v>
      </c>
      <c r="Q340" s="601" t="s">
        <v>491</v>
      </c>
      <c r="R340" s="464" t="s">
        <v>404</v>
      </c>
      <c r="S340" s="550"/>
      <c r="T340" s="28"/>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row>
    <row r="341" spans="1:53" s="7" customFormat="1" ht="56.25" customHeight="1">
      <c r="A341" s="617"/>
      <c r="B341" s="459"/>
      <c r="C341" s="470" t="s">
        <v>1100</v>
      </c>
      <c r="D341" s="115" t="s">
        <v>266</v>
      </c>
      <c r="E341" s="278">
        <v>0.47</v>
      </c>
      <c r="F341" s="265">
        <v>0.6</v>
      </c>
      <c r="G341" s="464"/>
      <c r="H341" s="616"/>
      <c r="I341" s="451"/>
      <c r="J341" s="392"/>
      <c r="K341" s="392"/>
      <c r="L341" s="162"/>
      <c r="M341" s="162"/>
      <c r="N341" s="162"/>
      <c r="O341" s="46"/>
      <c r="P341" s="616"/>
      <c r="Q341" s="601"/>
      <c r="R341" s="464"/>
      <c r="S341" s="550"/>
      <c r="T341" s="28"/>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row>
    <row r="342" spans="1:53" s="7" customFormat="1" ht="56.25" customHeight="1">
      <c r="A342" s="617"/>
      <c r="B342" s="459"/>
      <c r="C342" s="470"/>
      <c r="D342" s="258" t="s">
        <v>267</v>
      </c>
      <c r="E342" s="278" t="s">
        <v>96</v>
      </c>
      <c r="F342" s="278">
        <v>0.7</v>
      </c>
      <c r="G342" s="464"/>
      <c r="H342" s="616"/>
      <c r="I342" s="451"/>
      <c r="J342" s="163"/>
      <c r="K342" s="163"/>
      <c r="L342" s="163"/>
      <c r="M342" s="163"/>
      <c r="N342" s="163"/>
      <c r="O342" s="46"/>
      <c r="P342" s="616"/>
      <c r="Q342" s="601"/>
      <c r="R342" s="464"/>
      <c r="S342" s="550"/>
      <c r="T342" s="28"/>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row>
    <row r="343" spans="1:53" s="7" customFormat="1" ht="81.75" customHeight="1">
      <c r="A343" s="617"/>
      <c r="B343" s="459"/>
      <c r="C343" s="121" t="s">
        <v>1101</v>
      </c>
      <c r="D343" s="166" t="s">
        <v>268</v>
      </c>
      <c r="E343" s="312">
        <v>0.1</v>
      </c>
      <c r="F343" s="265">
        <v>0.5</v>
      </c>
      <c r="G343" s="464"/>
      <c r="H343" s="616"/>
      <c r="I343" s="451"/>
      <c r="J343" s="182"/>
      <c r="K343" s="182"/>
      <c r="L343" s="182"/>
      <c r="M343" s="182"/>
      <c r="N343" s="182"/>
      <c r="O343" s="46"/>
      <c r="P343" s="616"/>
      <c r="Q343" s="601"/>
      <c r="R343" s="464"/>
      <c r="S343" s="550"/>
      <c r="T343" s="28"/>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row>
    <row r="344" spans="1:53" s="7" customFormat="1" ht="81.75" customHeight="1">
      <c r="A344" s="617"/>
      <c r="B344" s="460"/>
      <c r="C344" s="121" t="s">
        <v>1102</v>
      </c>
      <c r="D344" s="166" t="s">
        <v>269</v>
      </c>
      <c r="E344" s="278" t="s">
        <v>16</v>
      </c>
      <c r="F344" s="278">
        <v>0.5</v>
      </c>
      <c r="G344" s="464"/>
      <c r="H344" s="616"/>
      <c r="I344" s="452"/>
      <c r="J344" s="182"/>
      <c r="K344" s="182"/>
      <c r="L344" s="182"/>
      <c r="M344" s="182"/>
      <c r="N344" s="182"/>
      <c r="O344" s="46"/>
      <c r="P344" s="616"/>
      <c r="Q344" s="601"/>
      <c r="R344" s="464"/>
      <c r="S344" s="550"/>
      <c r="T344" s="28"/>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row>
    <row r="345" spans="1:53" s="71" customFormat="1" ht="30" customHeight="1">
      <c r="A345" s="424" t="s">
        <v>570</v>
      </c>
      <c r="B345" s="425"/>
      <c r="C345" s="425"/>
      <c r="D345" s="425"/>
      <c r="E345" s="425"/>
      <c r="F345" s="425"/>
      <c r="G345" s="425"/>
      <c r="H345" s="426"/>
      <c r="I345" s="320"/>
      <c r="J345" s="183">
        <f>SUM(J334:J344)</f>
        <v>1891200000</v>
      </c>
      <c r="K345" s="183">
        <f>SUM(K334:K344)</f>
        <v>2544200000</v>
      </c>
      <c r="L345" s="183">
        <f>SUM(L334:L344)</f>
        <v>2004000000</v>
      </c>
      <c r="M345" s="183">
        <f>SUM(M334:M344)</f>
        <v>1430700000</v>
      </c>
      <c r="N345" s="320">
        <f>SUM(N334:N344)</f>
        <v>64200000</v>
      </c>
      <c r="O345" s="385"/>
      <c r="P345" s="320">
        <f>SUM(P334:P344)</f>
        <v>7934300000</v>
      </c>
      <c r="Q345" s="321"/>
      <c r="R345" s="345"/>
      <c r="S345" s="346"/>
      <c r="T345" s="223"/>
      <c r="U345" s="224"/>
      <c r="V345" s="224"/>
      <c r="W345" s="224"/>
      <c r="X345" s="224"/>
      <c r="Y345" s="224"/>
      <c r="Z345" s="224"/>
      <c r="AA345" s="224"/>
      <c r="AB345" s="224"/>
      <c r="AC345" s="224"/>
      <c r="AD345" s="224"/>
      <c r="AE345" s="224"/>
      <c r="AF345" s="224"/>
      <c r="AG345" s="224"/>
      <c r="AH345" s="224"/>
      <c r="AI345" s="224"/>
      <c r="AJ345" s="224"/>
      <c r="AK345" s="224"/>
      <c r="AL345" s="224"/>
      <c r="AM345" s="224"/>
      <c r="AN345" s="224"/>
      <c r="AO345" s="224"/>
      <c r="AP345" s="224"/>
      <c r="AQ345" s="224"/>
      <c r="AR345" s="224"/>
      <c r="AS345" s="224"/>
      <c r="AT345" s="224"/>
      <c r="AU345" s="224"/>
      <c r="AV345" s="224"/>
      <c r="AW345" s="224"/>
      <c r="AX345" s="224"/>
      <c r="AY345" s="224"/>
      <c r="AZ345" s="224"/>
      <c r="BA345" s="224"/>
    </row>
    <row r="346" spans="1:53" ht="19.5" customHeight="1">
      <c r="A346" s="491" t="s">
        <v>76</v>
      </c>
      <c r="B346" s="492"/>
      <c r="C346" s="492"/>
      <c r="D346" s="492"/>
      <c r="E346" s="359"/>
      <c r="F346" s="359"/>
      <c r="G346" s="360"/>
      <c r="H346" s="323"/>
      <c r="I346" s="172"/>
      <c r="J346" s="177">
        <f>SUM(J323:J332)+SUM(J334:J344)</f>
        <v>11180200000</v>
      </c>
      <c r="K346" s="177">
        <f>SUM(K323:K332)+SUM(K334:K344)</f>
        <v>15841700000</v>
      </c>
      <c r="L346" s="177">
        <f>SUM(L323:L332)+SUM(L334:L344)</f>
        <v>12019000000</v>
      </c>
      <c r="M346" s="177">
        <f>SUM(M323:M332)+SUM(M334:M344)</f>
        <v>4692150000</v>
      </c>
      <c r="N346" s="177">
        <f>SUM(N323:N332)+SUM(N334:N344)</f>
        <v>709200000</v>
      </c>
      <c r="O346" s="387">
        <f>P346/500</f>
        <v>88884500</v>
      </c>
      <c r="P346" s="177">
        <f>SUM(P323:P332)+SUM(P334:P344)</f>
        <v>44442250000</v>
      </c>
      <c r="Q346" s="396">
        <f>N346+M346+L346+K346+J346</f>
        <v>44442250000</v>
      </c>
      <c r="R346" s="396"/>
      <c r="S346" s="289"/>
      <c r="T346" s="3"/>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1:53" ht="24.75" customHeight="1">
      <c r="A347" s="493" t="s">
        <v>560</v>
      </c>
      <c r="B347" s="494"/>
      <c r="C347" s="494"/>
      <c r="D347" s="494"/>
      <c r="E347" s="494"/>
      <c r="F347" s="494"/>
      <c r="G347" s="494"/>
      <c r="H347" s="494"/>
      <c r="I347" s="494"/>
      <c r="J347" s="494"/>
      <c r="K347" s="494"/>
      <c r="L347" s="494"/>
      <c r="M347" s="494"/>
      <c r="N347" s="494"/>
      <c r="O347" s="494"/>
      <c r="P347" s="494"/>
      <c r="Q347" s="494"/>
      <c r="R347" s="494"/>
      <c r="S347" s="495"/>
      <c r="T347" s="28"/>
      <c r="U347" s="3"/>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1:53" s="7" customFormat="1" ht="61.5" customHeight="1">
      <c r="A348" s="605" t="s">
        <v>1103</v>
      </c>
      <c r="B348" s="619" t="s">
        <v>1104</v>
      </c>
      <c r="C348" s="166" t="s">
        <v>1105</v>
      </c>
      <c r="D348" s="258" t="s">
        <v>270</v>
      </c>
      <c r="E348" s="280">
        <v>0</v>
      </c>
      <c r="F348" s="257">
        <v>20</v>
      </c>
      <c r="G348" s="166" t="s">
        <v>271</v>
      </c>
      <c r="H348" s="163"/>
      <c r="I348" s="284"/>
      <c r="J348" s="184"/>
      <c r="K348" s="184"/>
      <c r="L348" s="184"/>
      <c r="M348" s="184"/>
      <c r="N348" s="184"/>
      <c r="O348" s="45" t="s">
        <v>28</v>
      </c>
      <c r="P348" s="347" t="s">
        <v>28</v>
      </c>
      <c r="Q348" s="252" t="s">
        <v>304</v>
      </c>
      <c r="R348" s="252"/>
      <c r="S348" s="208"/>
      <c r="T348" s="28"/>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row>
    <row r="349" spans="1:53" s="7" customFormat="1" ht="57.75" customHeight="1">
      <c r="A349" s="605"/>
      <c r="B349" s="619"/>
      <c r="C349" s="166" t="s">
        <v>1106</v>
      </c>
      <c r="D349" s="258" t="s">
        <v>272</v>
      </c>
      <c r="E349" s="280">
        <v>0</v>
      </c>
      <c r="F349" s="257">
        <v>30</v>
      </c>
      <c r="G349" s="166" t="s">
        <v>273</v>
      </c>
      <c r="H349" s="163">
        <v>50000</v>
      </c>
      <c r="I349" s="284">
        <f>45*8*5</f>
        <v>1800</v>
      </c>
      <c r="J349" s="184">
        <f>8*45*H349</f>
        <v>18000000</v>
      </c>
      <c r="K349" s="184">
        <f>8*45*H349</f>
        <v>18000000</v>
      </c>
      <c r="L349" s="184">
        <f>8*45*H349</f>
        <v>18000000</v>
      </c>
      <c r="M349" s="184">
        <f>8*45*H349</f>
        <v>18000000</v>
      </c>
      <c r="N349" s="184">
        <f>8*45*H349</f>
        <v>18000000</v>
      </c>
      <c r="O349" s="45">
        <f>P349/500</f>
        <v>180000</v>
      </c>
      <c r="P349" s="347">
        <f>H349*I349</f>
        <v>90000000</v>
      </c>
      <c r="Q349" s="252" t="s">
        <v>304</v>
      </c>
      <c r="R349" s="252"/>
      <c r="S349" s="208"/>
      <c r="T349" s="28"/>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row>
    <row r="350" spans="1:53" s="7" customFormat="1" ht="63">
      <c r="A350" s="605"/>
      <c r="B350" s="619"/>
      <c r="C350" s="463" t="s">
        <v>1107</v>
      </c>
      <c r="D350" s="258" t="s">
        <v>274</v>
      </c>
      <c r="E350" s="280">
        <v>0</v>
      </c>
      <c r="F350" s="257">
        <v>4</v>
      </c>
      <c r="G350" s="115" t="s">
        <v>514</v>
      </c>
      <c r="H350" s="328" t="s">
        <v>28</v>
      </c>
      <c r="I350" s="284">
        <v>5</v>
      </c>
      <c r="J350" s="184" t="s">
        <v>512</v>
      </c>
      <c r="K350" s="184" t="s">
        <v>512</v>
      </c>
      <c r="L350" s="184" t="s">
        <v>512</v>
      </c>
      <c r="M350" s="184" t="s">
        <v>512</v>
      </c>
      <c r="N350" s="184" t="s">
        <v>512</v>
      </c>
      <c r="O350" s="45" t="s">
        <v>28</v>
      </c>
      <c r="P350" s="347" t="s">
        <v>28</v>
      </c>
      <c r="Q350" s="252" t="s">
        <v>304</v>
      </c>
      <c r="R350" s="252"/>
      <c r="S350" s="208"/>
      <c r="T350" s="28"/>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row>
    <row r="351" spans="1:53" s="7" customFormat="1" ht="97.5" customHeight="1">
      <c r="A351" s="605"/>
      <c r="B351" s="619"/>
      <c r="C351" s="427"/>
      <c r="D351" s="258" t="s">
        <v>275</v>
      </c>
      <c r="E351" s="280">
        <v>0</v>
      </c>
      <c r="F351" s="257">
        <v>6</v>
      </c>
      <c r="G351" s="115" t="s">
        <v>515</v>
      </c>
      <c r="H351" s="328">
        <f>800000*4*12</f>
        <v>38400000</v>
      </c>
      <c r="I351" s="284">
        <v>5</v>
      </c>
      <c r="J351" s="184">
        <v>38400000</v>
      </c>
      <c r="K351" s="184">
        <v>38400000</v>
      </c>
      <c r="L351" s="184">
        <v>38400000</v>
      </c>
      <c r="M351" s="184">
        <v>38400000</v>
      </c>
      <c r="N351" s="184">
        <v>38400000</v>
      </c>
      <c r="O351" s="45">
        <f>H351/500</f>
        <v>76800</v>
      </c>
      <c r="P351" s="347">
        <f>H351*I351</f>
        <v>192000000</v>
      </c>
      <c r="Q351" s="252" t="s">
        <v>304</v>
      </c>
      <c r="R351" s="252"/>
      <c r="S351" s="208"/>
      <c r="T351" s="28"/>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row>
    <row r="352" spans="1:53" s="7" customFormat="1" ht="66" customHeight="1">
      <c r="A352" s="605"/>
      <c r="B352" s="619"/>
      <c r="C352" s="427"/>
      <c r="D352" s="166" t="s">
        <v>276</v>
      </c>
      <c r="E352" s="280">
        <v>0</v>
      </c>
      <c r="F352" s="257">
        <v>1</v>
      </c>
      <c r="G352" s="115" t="s">
        <v>277</v>
      </c>
      <c r="H352" s="328">
        <v>250000000</v>
      </c>
      <c r="I352" s="284">
        <v>2</v>
      </c>
      <c r="J352" s="184">
        <f>H352</f>
        <v>250000000</v>
      </c>
      <c r="K352" s="184" t="s">
        <v>512</v>
      </c>
      <c r="L352" s="184">
        <f>H352</f>
        <v>250000000</v>
      </c>
      <c r="M352" s="184" t="s">
        <v>512</v>
      </c>
      <c r="N352" s="184" t="s">
        <v>512</v>
      </c>
      <c r="O352" s="45">
        <f>H352/500</f>
        <v>500000</v>
      </c>
      <c r="P352" s="347">
        <f>H352*I352</f>
        <v>500000000</v>
      </c>
      <c r="Q352" s="252" t="s">
        <v>304</v>
      </c>
      <c r="R352" s="252"/>
      <c r="S352" s="208"/>
      <c r="T352" s="28"/>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row>
    <row r="353" spans="1:53" s="7" customFormat="1" ht="47.25" customHeight="1">
      <c r="A353" s="605"/>
      <c r="B353" s="619"/>
      <c r="C353" s="427"/>
      <c r="D353" s="258" t="s">
        <v>278</v>
      </c>
      <c r="E353" s="280"/>
      <c r="F353" s="257"/>
      <c r="G353" s="181"/>
      <c r="H353" s="328"/>
      <c r="I353" s="284"/>
      <c r="J353" s="184"/>
      <c r="K353" s="184"/>
      <c r="L353" s="184"/>
      <c r="M353" s="184"/>
      <c r="N353" s="184"/>
      <c r="O353" s="45">
        <f>H353/500</f>
        <v>0</v>
      </c>
      <c r="P353" s="347">
        <f>H353*I353</f>
        <v>0</v>
      </c>
      <c r="Q353" s="252" t="s">
        <v>304</v>
      </c>
      <c r="R353" s="252"/>
      <c r="S353" s="208"/>
      <c r="T353" s="28"/>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row>
    <row r="354" spans="1:53" s="7" customFormat="1" ht="39" customHeight="1">
      <c r="A354" s="605"/>
      <c r="B354" s="619"/>
      <c r="C354" s="427"/>
      <c r="D354" s="258" t="s">
        <v>279</v>
      </c>
      <c r="E354" s="280">
        <v>0</v>
      </c>
      <c r="F354" s="257">
        <v>1</v>
      </c>
      <c r="G354" s="166" t="s">
        <v>280</v>
      </c>
      <c r="H354" s="328">
        <v>50000000</v>
      </c>
      <c r="I354" s="284">
        <v>5</v>
      </c>
      <c r="J354" s="184">
        <f>H354</f>
        <v>50000000</v>
      </c>
      <c r="K354" s="184">
        <f>H354</f>
        <v>50000000</v>
      </c>
      <c r="L354" s="184">
        <f>H354</f>
        <v>50000000</v>
      </c>
      <c r="M354" s="184">
        <f>H354</f>
        <v>50000000</v>
      </c>
      <c r="N354" s="184">
        <f>H354</f>
        <v>50000000</v>
      </c>
      <c r="O354" s="45">
        <f>H354/500</f>
        <v>100000</v>
      </c>
      <c r="P354" s="347">
        <f>H354*I354</f>
        <v>250000000</v>
      </c>
      <c r="Q354" s="252" t="s">
        <v>304</v>
      </c>
      <c r="R354" s="252"/>
      <c r="S354" s="208"/>
      <c r="T354" s="28"/>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row>
    <row r="355" spans="1:53" s="7" customFormat="1" ht="53.25" customHeight="1">
      <c r="A355" s="605"/>
      <c r="B355" s="619"/>
      <c r="C355" s="428"/>
      <c r="D355" s="166" t="s">
        <v>558</v>
      </c>
      <c r="E355" s="257" t="s">
        <v>16</v>
      </c>
      <c r="F355" s="280">
        <v>30</v>
      </c>
      <c r="G355" s="166" t="s">
        <v>482</v>
      </c>
      <c r="H355" s="163">
        <v>10000000</v>
      </c>
      <c r="I355" s="284">
        <v>5</v>
      </c>
      <c r="J355" s="184">
        <v>10000000</v>
      </c>
      <c r="K355" s="184">
        <v>10000000</v>
      </c>
      <c r="L355" s="184">
        <v>10000000</v>
      </c>
      <c r="M355" s="184">
        <v>10000000</v>
      </c>
      <c r="N355" s="184">
        <v>10000000</v>
      </c>
      <c r="O355" s="45">
        <f>H355/500</f>
        <v>20000</v>
      </c>
      <c r="P355" s="347">
        <f>H355*I355</f>
        <v>50000000</v>
      </c>
      <c r="Q355" s="252" t="s">
        <v>304</v>
      </c>
      <c r="R355" s="252"/>
      <c r="S355" s="208"/>
      <c r="T355" s="28"/>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row>
    <row r="356" spans="1:53" s="7" customFormat="1" ht="94.5" customHeight="1">
      <c r="A356" s="605"/>
      <c r="B356" s="619"/>
      <c r="C356" s="620" t="s">
        <v>1108</v>
      </c>
      <c r="D356" s="166" t="s">
        <v>281</v>
      </c>
      <c r="E356" s="257">
        <v>0</v>
      </c>
      <c r="F356" s="397">
        <v>1</v>
      </c>
      <c r="G356" s="115" t="s">
        <v>282</v>
      </c>
      <c r="H356" s="163" t="s">
        <v>28</v>
      </c>
      <c r="I356" s="284" t="s">
        <v>28</v>
      </c>
      <c r="J356" s="184" t="s">
        <v>512</v>
      </c>
      <c r="K356" s="184" t="s">
        <v>512</v>
      </c>
      <c r="L356" s="184" t="s">
        <v>512</v>
      </c>
      <c r="M356" s="184" t="s">
        <v>512</v>
      </c>
      <c r="N356" s="184" t="s">
        <v>512</v>
      </c>
      <c r="O356" s="45" t="s">
        <v>28</v>
      </c>
      <c r="P356" s="347" t="s">
        <v>28</v>
      </c>
      <c r="Q356" s="252" t="s">
        <v>304</v>
      </c>
      <c r="R356" s="252"/>
      <c r="S356" s="208"/>
      <c r="T356" s="28"/>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row>
    <row r="357" spans="1:53" s="7" customFormat="1" ht="94.5" customHeight="1">
      <c r="A357" s="605"/>
      <c r="B357" s="619"/>
      <c r="C357" s="620"/>
      <c r="D357" s="166"/>
      <c r="E357" s="257"/>
      <c r="F357" s="397"/>
      <c r="G357" s="115" t="s">
        <v>513</v>
      </c>
      <c r="H357" s="163">
        <f>500000</f>
        <v>500000</v>
      </c>
      <c r="I357" s="284">
        <v>30</v>
      </c>
      <c r="J357" s="184">
        <f>H357*I357/2</f>
        <v>7500000</v>
      </c>
      <c r="K357" s="184">
        <f>H357*I357/2</f>
        <v>7500000</v>
      </c>
      <c r="L357" s="184" t="s">
        <v>512</v>
      </c>
      <c r="M357" s="184" t="s">
        <v>512</v>
      </c>
      <c r="N357" s="184" t="s">
        <v>512</v>
      </c>
      <c r="O357" s="45">
        <f>P357/2</f>
        <v>7500000</v>
      </c>
      <c r="P357" s="347">
        <f>I357*H357</f>
        <v>15000000</v>
      </c>
      <c r="Q357" s="252" t="s">
        <v>304</v>
      </c>
      <c r="R357" s="252"/>
      <c r="S357" s="208"/>
      <c r="T357" s="28"/>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row>
    <row r="358" spans="1:53" s="7" customFormat="1" ht="48.75" customHeight="1">
      <c r="A358" s="605"/>
      <c r="B358" s="619"/>
      <c r="C358" s="620"/>
      <c r="D358" s="115" t="s">
        <v>283</v>
      </c>
      <c r="E358" s="257">
        <v>0</v>
      </c>
      <c r="F358" s="265">
        <v>1</v>
      </c>
      <c r="G358" s="166" t="s">
        <v>470</v>
      </c>
      <c r="H358" s="163">
        <v>200000</v>
      </c>
      <c r="I358" s="284">
        <f>20*4*5</f>
        <v>400</v>
      </c>
      <c r="J358" s="184">
        <f>80*H358</f>
        <v>16000000</v>
      </c>
      <c r="K358" s="184">
        <f aca="true" t="shared" si="37" ref="K358:N359">J358</f>
        <v>16000000</v>
      </c>
      <c r="L358" s="184">
        <f t="shared" si="37"/>
        <v>16000000</v>
      </c>
      <c r="M358" s="184">
        <f t="shared" si="37"/>
        <v>16000000</v>
      </c>
      <c r="N358" s="184">
        <f t="shared" si="37"/>
        <v>16000000</v>
      </c>
      <c r="O358" s="45">
        <f>P358/500</f>
        <v>160000</v>
      </c>
      <c r="P358" s="347">
        <f>I358*H358</f>
        <v>80000000</v>
      </c>
      <c r="Q358" s="252" t="s">
        <v>304</v>
      </c>
      <c r="R358" s="252"/>
      <c r="S358" s="208"/>
      <c r="T358" s="28"/>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row>
    <row r="359" spans="1:53" s="7" customFormat="1" ht="63">
      <c r="A359" s="605"/>
      <c r="B359" s="619"/>
      <c r="C359" s="620"/>
      <c r="D359" s="115" t="s">
        <v>284</v>
      </c>
      <c r="E359" s="257">
        <v>0</v>
      </c>
      <c r="F359" s="265">
        <v>1</v>
      </c>
      <c r="G359" s="166" t="s">
        <v>471</v>
      </c>
      <c r="H359" s="163">
        <v>200000</v>
      </c>
      <c r="I359" s="284">
        <f>85*2*5</f>
        <v>850</v>
      </c>
      <c r="J359" s="184">
        <f>85*2*H359</f>
        <v>34000000</v>
      </c>
      <c r="K359" s="184">
        <f t="shared" si="37"/>
        <v>34000000</v>
      </c>
      <c r="L359" s="184">
        <f t="shared" si="37"/>
        <v>34000000</v>
      </c>
      <c r="M359" s="184">
        <f t="shared" si="37"/>
        <v>34000000</v>
      </c>
      <c r="N359" s="184">
        <f t="shared" si="37"/>
        <v>34000000</v>
      </c>
      <c r="O359" s="45">
        <f>P359/500</f>
        <v>340000</v>
      </c>
      <c r="P359" s="347">
        <f>I359*H359</f>
        <v>170000000</v>
      </c>
      <c r="Q359" s="252" t="s">
        <v>304</v>
      </c>
      <c r="R359" s="252"/>
      <c r="S359" s="208"/>
      <c r="T359" s="28"/>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row>
    <row r="360" spans="1:53" s="7" customFormat="1" ht="47.25">
      <c r="A360" s="605"/>
      <c r="B360" s="619"/>
      <c r="C360" s="620"/>
      <c r="D360" s="115" t="s">
        <v>285</v>
      </c>
      <c r="E360" s="257">
        <v>0</v>
      </c>
      <c r="F360" s="265">
        <v>1</v>
      </c>
      <c r="G360" s="166" t="s">
        <v>472</v>
      </c>
      <c r="H360" s="163">
        <v>200000</v>
      </c>
      <c r="I360" s="284">
        <f>113*12*5</f>
        <v>6780</v>
      </c>
      <c r="J360" s="184">
        <f>1356*H360</f>
        <v>271200000</v>
      </c>
      <c r="K360" s="184">
        <f>1356*H360</f>
        <v>271200000</v>
      </c>
      <c r="L360" s="184">
        <f>1356*H360</f>
        <v>271200000</v>
      </c>
      <c r="M360" s="184">
        <f>1356*H360</f>
        <v>271200000</v>
      </c>
      <c r="N360" s="184">
        <f>1356*H360</f>
        <v>271200000</v>
      </c>
      <c r="O360" s="45">
        <f>H360/500</f>
        <v>400</v>
      </c>
      <c r="P360" s="347">
        <f aca="true" t="shared" si="38" ref="P360:P376">H360*I360</f>
        <v>1356000000</v>
      </c>
      <c r="Q360" s="252" t="s">
        <v>304</v>
      </c>
      <c r="R360" s="398"/>
      <c r="S360" s="208"/>
      <c r="T360" s="28"/>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row>
    <row r="361" spans="1:53" s="7" customFormat="1" ht="78.75">
      <c r="A361" s="605"/>
      <c r="B361" s="619"/>
      <c r="C361" s="166" t="s">
        <v>1109</v>
      </c>
      <c r="D361" s="166" t="s">
        <v>286</v>
      </c>
      <c r="E361" s="257">
        <v>0</v>
      </c>
      <c r="F361" s="397">
        <v>20</v>
      </c>
      <c r="G361" s="166" t="s">
        <v>287</v>
      </c>
      <c r="H361" s="163">
        <v>7000000</v>
      </c>
      <c r="I361" s="284">
        <f>20*5</f>
        <v>100</v>
      </c>
      <c r="J361" s="184">
        <f>50*H361</f>
        <v>350000000</v>
      </c>
      <c r="K361" s="184">
        <f>50*H361</f>
        <v>350000000</v>
      </c>
      <c r="L361" s="184" t="s">
        <v>512</v>
      </c>
      <c r="M361" s="184" t="s">
        <v>512</v>
      </c>
      <c r="N361" s="184" t="s">
        <v>512</v>
      </c>
      <c r="O361" s="45">
        <f>P361/500</f>
        <v>1400000</v>
      </c>
      <c r="P361" s="347">
        <f t="shared" si="38"/>
        <v>700000000</v>
      </c>
      <c r="Q361" s="252" t="s">
        <v>304</v>
      </c>
      <c r="R361" s="252" t="s">
        <v>676</v>
      </c>
      <c r="S361" s="208" t="s">
        <v>288</v>
      </c>
      <c r="T361" s="28"/>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row>
    <row r="362" spans="1:53" s="7" customFormat="1" ht="63">
      <c r="A362" s="605"/>
      <c r="B362" s="619"/>
      <c r="C362" s="121" t="s">
        <v>1110</v>
      </c>
      <c r="D362" s="166" t="s">
        <v>289</v>
      </c>
      <c r="E362" s="257">
        <v>0</v>
      </c>
      <c r="F362" s="397">
        <v>1</v>
      </c>
      <c r="G362" s="166" t="s">
        <v>473</v>
      </c>
      <c r="H362" s="163">
        <v>7000000</v>
      </c>
      <c r="I362" s="284">
        <v>3</v>
      </c>
      <c r="J362" s="184">
        <f>2*7000000</f>
        <v>14000000</v>
      </c>
      <c r="K362" s="184">
        <v>7000000</v>
      </c>
      <c r="L362" s="184"/>
      <c r="M362" s="184"/>
      <c r="N362" s="184"/>
      <c r="O362" s="45"/>
      <c r="P362" s="347">
        <f t="shared" si="38"/>
        <v>21000000</v>
      </c>
      <c r="Q362" s="252" t="s">
        <v>304</v>
      </c>
      <c r="R362" s="252"/>
      <c r="S362" s="208"/>
      <c r="T362" s="28"/>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row>
    <row r="363" spans="1:53" s="7" customFormat="1" ht="32.25" customHeight="1">
      <c r="A363" s="605"/>
      <c r="B363" s="545" t="s">
        <v>1111</v>
      </c>
      <c r="C363" s="166" t="s">
        <v>1112</v>
      </c>
      <c r="D363" s="166" t="s">
        <v>290</v>
      </c>
      <c r="E363" s="330">
        <v>0</v>
      </c>
      <c r="F363" s="330">
        <v>5</v>
      </c>
      <c r="G363" s="166" t="s">
        <v>473</v>
      </c>
      <c r="H363" s="163">
        <v>7000000</v>
      </c>
      <c r="I363" s="284">
        <v>10</v>
      </c>
      <c r="J363" s="184">
        <f>2*H363</f>
        <v>14000000</v>
      </c>
      <c r="K363" s="184">
        <f>2*H363</f>
        <v>14000000</v>
      </c>
      <c r="L363" s="184">
        <f>2*H363</f>
        <v>14000000</v>
      </c>
      <c r="M363" s="184">
        <f>2*H363</f>
        <v>14000000</v>
      </c>
      <c r="N363" s="184">
        <f>M363</f>
        <v>14000000</v>
      </c>
      <c r="O363" s="399">
        <f>P363/500</f>
        <v>140000</v>
      </c>
      <c r="P363" s="347">
        <f>H363*I363</f>
        <v>70000000</v>
      </c>
      <c r="Q363" s="252" t="s">
        <v>304</v>
      </c>
      <c r="R363" s="252"/>
      <c r="S363" s="208"/>
      <c r="T363" s="28"/>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row>
    <row r="364" spans="1:53" s="7" customFormat="1" ht="32.25" customHeight="1">
      <c r="A364" s="605"/>
      <c r="B364" s="545"/>
      <c r="C364" s="166"/>
      <c r="D364" s="166" t="s">
        <v>291</v>
      </c>
      <c r="E364" s="330">
        <v>0</v>
      </c>
      <c r="F364" s="330">
        <v>5</v>
      </c>
      <c r="G364" s="166" t="s">
        <v>473</v>
      </c>
      <c r="H364" s="163">
        <v>7000000</v>
      </c>
      <c r="I364" s="284">
        <v>10</v>
      </c>
      <c r="J364" s="184">
        <f>2*H364</f>
        <v>14000000</v>
      </c>
      <c r="K364" s="184">
        <f>2*H364</f>
        <v>14000000</v>
      </c>
      <c r="L364" s="184">
        <f>2*H364</f>
        <v>14000000</v>
      </c>
      <c r="M364" s="184">
        <f>2*H364</f>
        <v>14000000</v>
      </c>
      <c r="N364" s="184">
        <f>M364</f>
        <v>14000000</v>
      </c>
      <c r="O364" s="399">
        <f>P364/500</f>
        <v>140000</v>
      </c>
      <c r="P364" s="347">
        <f t="shared" si="38"/>
        <v>70000000</v>
      </c>
      <c r="Q364" s="252" t="s">
        <v>304</v>
      </c>
      <c r="R364" s="252"/>
      <c r="S364" s="208"/>
      <c r="T364" s="28"/>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row>
    <row r="365" spans="1:53" s="7" customFormat="1" ht="32.25" customHeight="1">
      <c r="A365" s="605"/>
      <c r="B365" s="545"/>
      <c r="C365" s="166"/>
      <c r="D365" s="166" t="s">
        <v>292</v>
      </c>
      <c r="E365" s="330">
        <v>0</v>
      </c>
      <c r="F365" s="330">
        <v>15</v>
      </c>
      <c r="G365" s="166" t="s">
        <v>474</v>
      </c>
      <c r="H365" s="163">
        <v>7000000</v>
      </c>
      <c r="I365" s="284">
        <v>15</v>
      </c>
      <c r="J365" s="184">
        <f>5*H365</f>
        <v>35000000</v>
      </c>
      <c r="K365" s="184">
        <f>3*H365</f>
        <v>21000000</v>
      </c>
      <c r="L365" s="184">
        <f>3*H365</f>
        <v>21000000</v>
      </c>
      <c r="M365" s="184">
        <f>3*H365</f>
        <v>21000000</v>
      </c>
      <c r="N365" s="184">
        <f>H365*1</f>
        <v>7000000</v>
      </c>
      <c r="O365" s="45">
        <f>P365/500</f>
        <v>210000</v>
      </c>
      <c r="P365" s="347">
        <f t="shared" si="38"/>
        <v>105000000</v>
      </c>
      <c r="Q365" s="252" t="s">
        <v>304</v>
      </c>
      <c r="R365" s="252"/>
      <c r="S365" s="208"/>
      <c r="T365" s="28"/>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row>
    <row r="366" spans="1:53" s="7" customFormat="1" ht="32.25" customHeight="1">
      <c r="A366" s="605"/>
      <c r="B366" s="545"/>
      <c r="C366" s="166"/>
      <c r="D366" s="166" t="s">
        <v>477</v>
      </c>
      <c r="E366" s="330">
        <v>0</v>
      </c>
      <c r="F366" s="330">
        <v>2</v>
      </c>
      <c r="G366" s="166" t="s">
        <v>298</v>
      </c>
      <c r="H366" s="163">
        <v>20000000</v>
      </c>
      <c r="I366" s="284">
        <v>2</v>
      </c>
      <c r="J366" s="184">
        <v>20000000</v>
      </c>
      <c r="K366" s="184"/>
      <c r="L366" s="184"/>
      <c r="M366" s="184">
        <v>20000000</v>
      </c>
      <c r="N366" s="184"/>
      <c r="O366" s="45"/>
      <c r="P366" s="347">
        <f t="shared" si="38"/>
        <v>40000000</v>
      </c>
      <c r="Q366" s="252" t="s">
        <v>304</v>
      </c>
      <c r="R366" s="252"/>
      <c r="S366" s="208"/>
      <c r="T366" s="28"/>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row>
    <row r="367" spans="1:53" s="7" customFormat="1" ht="32.25" customHeight="1">
      <c r="A367" s="605"/>
      <c r="B367" s="545"/>
      <c r="C367" s="166"/>
      <c r="D367" s="166" t="s">
        <v>293</v>
      </c>
      <c r="E367" s="330">
        <v>0</v>
      </c>
      <c r="F367" s="330">
        <v>2</v>
      </c>
      <c r="G367" s="166" t="s">
        <v>475</v>
      </c>
      <c r="H367" s="163">
        <v>2500000</v>
      </c>
      <c r="I367" s="284">
        <v>2</v>
      </c>
      <c r="J367" s="184">
        <v>2500000</v>
      </c>
      <c r="K367" s="184"/>
      <c r="L367" s="184"/>
      <c r="M367" s="184">
        <v>2500000</v>
      </c>
      <c r="N367" s="184"/>
      <c r="O367" s="45"/>
      <c r="P367" s="347">
        <f t="shared" si="38"/>
        <v>5000000</v>
      </c>
      <c r="Q367" s="252" t="s">
        <v>304</v>
      </c>
      <c r="R367" s="252"/>
      <c r="S367" s="208"/>
      <c r="T367" s="28"/>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row>
    <row r="368" spans="1:53" s="7" customFormat="1" ht="51.75" customHeight="1">
      <c r="A368" s="605"/>
      <c r="B368" s="545"/>
      <c r="C368" s="166"/>
      <c r="D368" s="166" t="s">
        <v>294</v>
      </c>
      <c r="E368" s="330">
        <v>0</v>
      </c>
      <c r="F368" s="330">
        <v>4</v>
      </c>
      <c r="G368" s="166" t="s">
        <v>476</v>
      </c>
      <c r="H368" s="163">
        <v>6500000</v>
      </c>
      <c r="I368" s="284">
        <v>12</v>
      </c>
      <c r="J368" s="184">
        <f>3*H368</f>
        <v>19500000</v>
      </c>
      <c r="K368" s="184">
        <v>19500000</v>
      </c>
      <c r="L368" s="184">
        <v>13000000</v>
      </c>
      <c r="M368" s="184">
        <v>13000000</v>
      </c>
      <c r="N368" s="184">
        <v>13000000</v>
      </c>
      <c r="O368" s="45">
        <v>13000000</v>
      </c>
      <c r="P368" s="347">
        <f t="shared" si="38"/>
        <v>78000000</v>
      </c>
      <c r="Q368" s="252" t="s">
        <v>304</v>
      </c>
      <c r="R368" s="252"/>
      <c r="S368" s="208"/>
      <c r="T368" s="28"/>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row>
    <row r="369" spans="1:53" s="7" customFormat="1" ht="67.5" customHeight="1">
      <c r="A369" s="605"/>
      <c r="B369" s="545"/>
      <c r="C369" s="334" t="s">
        <v>1113</v>
      </c>
      <c r="D369" s="166" t="s">
        <v>295</v>
      </c>
      <c r="E369" s="330">
        <v>0</v>
      </c>
      <c r="F369" s="265">
        <v>1</v>
      </c>
      <c r="G369" s="166" t="s">
        <v>296</v>
      </c>
      <c r="H369" s="163">
        <v>7000000</v>
      </c>
      <c r="I369" s="284">
        <v>1</v>
      </c>
      <c r="J369" s="184">
        <v>7000000</v>
      </c>
      <c r="K369" s="184">
        <v>0</v>
      </c>
      <c r="L369" s="184">
        <v>0</v>
      </c>
      <c r="M369" s="184">
        <v>0</v>
      </c>
      <c r="N369" s="184">
        <v>0</v>
      </c>
      <c r="O369" s="45">
        <f aca="true" t="shared" si="39" ref="O369:O375">H369/500</f>
        <v>14000</v>
      </c>
      <c r="P369" s="347">
        <f t="shared" si="38"/>
        <v>7000000</v>
      </c>
      <c r="Q369" s="252" t="s">
        <v>304</v>
      </c>
      <c r="R369" s="252"/>
      <c r="S369" s="208"/>
      <c r="T369" s="28"/>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row>
    <row r="370" spans="1:53" s="7" customFormat="1" ht="67.5" customHeight="1">
      <c r="A370" s="605"/>
      <c r="B370" s="545"/>
      <c r="C370" s="334" t="s">
        <v>1114</v>
      </c>
      <c r="D370" s="258" t="s">
        <v>295</v>
      </c>
      <c r="E370" s="330">
        <v>0</v>
      </c>
      <c r="F370" s="265">
        <v>1</v>
      </c>
      <c r="G370" s="166" t="s">
        <v>297</v>
      </c>
      <c r="H370" s="163">
        <v>7000000</v>
      </c>
      <c r="I370" s="284">
        <v>5</v>
      </c>
      <c r="J370" s="184">
        <v>7000000</v>
      </c>
      <c r="K370" s="184">
        <v>7000000</v>
      </c>
      <c r="L370" s="184">
        <v>7000000</v>
      </c>
      <c r="M370" s="184">
        <v>7000000</v>
      </c>
      <c r="N370" s="184">
        <v>7000000</v>
      </c>
      <c r="O370" s="45">
        <f t="shared" si="39"/>
        <v>14000</v>
      </c>
      <c r="P370" s="347">
        <f t="shared" si="38"/>
        <v>35000000</v>
      </c>
      <c r="Q370" s="252" t="s">
        <v>304</v>
      </c>
      <c r="R370" s="252"/>
      <c r="S370" s="208"/>
      <c r="T370" s="28"/>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row>
    <row r="371" spans="1:53" s="71" customFormat="1" ht="24" customHeight="1">
      <c r="A371" s="424" t="s">
        <v>571</v>
      </c>
      <c r="B371" s="425"/>
      <c r="C371" s="425"/>
      <c r="D371" s="425"/>
      <c r="E371" s="425"/>
      <c r="F371" s="425"/>
      <c r="G371" s="426"/>
      <c r="H371" s="320"/>
      <c r="I371" s="344"/>
      <c r="J371" s="185">
        <f>SUM(J348:J370)</f>
        <v>1178100000</v>
      </c>
      <c r="K371" s="185">
        <f>SUM(K348:K370)</f>
        <v>877600000</v>
      </c>
      <c r="L371" s="185">
        <f>SUM(L348:L370)</f>
        <v>756600000</v>
      </c>
      <c r="M371" s="185">
        <f>SUM(M348:M370)</f>
        <v>529100000</v>
      </c>
      <c r="N371" s="185">
        <f>SUM(N348:N370)</f>
        <v>492600000</v>
      </c>
      <c r="O371" s="70"/>
      <c r="P371" s="320">
        <f>SUM(P348:P370)</f>
        <v>3834000000</v>
      </c>
      <c r="Q371" s="345"/>
      <c r="R371" s="345"/>
      <c r="S371" s="209"/>
      <c r="T371" s="223"/>
      <c r="U371" s="224"/>
      <c r="V371" s="224"/>
      <c r="W371" s="224"/>
      <c r="X371" s="224"/>
      <c r="Y371" s="224"/>
      <c r="Z371" s="224"/>
      <c r="AA371" s="224"/>
      <c r="AB371" s="224"/>
      <c r="AC371" s="224"/>
      <c r="AD371" s="224"/>
      <c r="AE371" s="224"/>
      <c r="AF371" s="224"/>
      <c r="AG371" s="224"/>
      <c r="AH371" s="224"/>
      <c r="AI371" s="224"/>
      <c r="AJ371" s="224"/>
      <c r="AK371" s="224"/>
      <c r="AL371" s="224"/>
      <c r="AM371" s="224"/>
      <c r="AN371" s="224"/>
      <c r="AO371" s="224"/>
      <c r="AP371" s="224"/>
      <c r="AQ371" s="224"/>
      <c r="AR371" s="224"/>
      <c r="AS371" s="224"/>
      <c r="AT371" s="224"/>
      <c r="AU371" s="224"/>
      <c r="AV371" s="224"/>
      <c r="AW371" s="224"/>
      <c r="AX371" s="224"/>
      <c r="AY371" s="224"/>
      <c r="AZ371" s="224"/>
      <c r="BA371" s="224"/>
    </row>
    <row r="372" spans="1:53" s="7" customFormat="1" ht="31.5" customHeight="1">
      <c r="A372" s="618" t="s">
        <v>1115</v>
      </c>
      <c r="B372" s="545" t="s">
        <v>1116</v>
      </c>
      <c r="C372" s="464" t="s">
        <v>885</v>
      </c>
      <c r="D372" s="464"/>
      <c r="E372" s="546"/>
      <c r="F372" s="465"/>
      <c r="G372" s="166" t="s">
        <v>478</v>
      </c>
      <c r="H372" s="162">
        <v>25000000</v>
      </c>
      <c r="I372" s="240">
        <v>1</v>
      </c>
      <c r="J372" s="184">
        <v>25000000</v>
      </c>
      <c r="K372" s="184"/>
      <c r="L372" s="184"/>
      <c r="M372" s="184"/>
      <c r="N372" s="184"/>
      <c r="O372" s="45">
        <f t="shared" si="39"/>
        <v>50000</v>
      </c>
      <c r="P372" s="347">
        <f t="shared" si="38"/>
        <v>25000000</v>
      </c>
      <c r="Q372" s="252" t="s">
        <v>304</v>
      </c>
      <c r="R372" s="252"/>
      <c r="S372" s="208"/>
      <c r="T372" s="28"/>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row>
    <row r="373" spans="1:53" s="7" customFormat="1" ht="31.5" customHeight="1">
      <c r="A373" s="618"/>
      <c r="B373" s="545"/>
      <c r="C373" s="464"/>
      <c r="D373" s="464"/>
      <c r="E373" s="546"/>
      <c r="F373" s="465"/>
      <c r="G373" s="166" t="s">
        <v>479</v>
      </c>
      <c r="H373" s="162">
        <v>5000</v>
      </c>
      <c r="I373" s="240">
        <v>500</v>
      </c>
      <c r="J373" s="184">
        <v>1500000</v>
      </c>
      <c r="K373" s="184">
        <v>500000</v>
      </c>
      <c r="L373" s="184">
        <v>500000</v>
      </c>
      <c r="M373" s="184"/>
      <c r="N373" s="184"/>
      <c r="O373" s="45">
        <f t="shared" si="39"/>
        <v>10</v>
      </c>
      <c r="P373" s="347">
        <f t="shared" si="38"/>
        <v>2500000</v>
      </c>
      <c r="Q373" s="252" t="s">
        <v>304</v>
      </c>
      <c r="R373" s="252"/>
      <c r="S373" s="208"/>
      <c r="T373" s="28"/>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row>
    <row r="374" spans="1:53" s="7" customFormat="1" ht="31.5">
      <c r="A374" s="618"/>
      <c r="B374" s="545"/>
      <c r="C374" s="464"/>
      <c r="D374" s="464"/>
      <c r="E374" s="546"/>
      <c r="F374" s="465"/>
      <c r="G374" s="166" t="s">
        <v>480</v>
      </c>
      <c r="H374" s="162">
        <v>6000000</v>
      </c>
      <c r="I374" s="240">
        <v>1</v>
      </c>
      <c r="J374" s="184">
        <v>6000000</v>
      </c>
      <c r="K374" s="184">
        <v>0</v>
      </c>
      <c r="L374" s="184">
        <v>0</v>
      </c>
      <c r="M374" s="184">
        <v>0</v>
      </c>
      <c r="N374" s="184">
        <v>0</v>
      </c>
      <c r="O374" s="45">
        <f t="shared" si="39"/>
        <v>12000</v>
      </c>
      <c r="P374" s="162">
        <f t="shared" si="38"/>
        <v>6000000</v>
      </c>
      <c r="Q374" s="252" t="s">
        <v>304</v>
      </c>
      <c r="R374" s="252"/>
      <c r="S374" s="208"/>
      <c r="T374" s="28"/>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row>
    <row r="375" spans="1:53" s="7" customFormat="1" ht="52.5" customHeight="1">
      <c r="A375" s="618"/>
      <c r="B375" s="545"/>
      <c r="C375" s="262" t="s">
        <v>1117</v>
      </c>
      <c r="D375" s="304" t="s">
        <v>299</v>
      </c>
      <c r="E375" s="400">
        <v>0</v>
      </c>
      <c r="F375" s="266">
        <v>1</v>
      </c>
      <c r="G375" s="166" t="s">
        <v>300</v>
      </c>
      <c r="H375" s="163">
        <v>25000000</v>
      </c>
      <c r="I375" s="284">
        <v>1</v>
      </c>
      <c r="J375" s="184">
        <v>25000000</v>
      </c>
      <c r="K375" s="184">
        <v>0</v>
      </c>
      <c r="L375" s="184">
        <v>0</v>
      </c>
      <c r="M375" s="184">
        <v>0</v>
      </c>
      <c r="N375" s="184">
        <v>0</v>
      </c>
      <c r="O375" s="45">
        <f t="shared" si="39"/>
        <v>50000</v>
      </c>
      <c r="P375" s="162">
        <f t="shared" si="38"/>
        <v>25000000</v>
      </c>
      <c r="Q375" s="252" t="s">
        <v>304</v>
      </c>
      <c r="R375" s="252"/>
      <c r="S375" s="208"/>
      <c r="T375" s="28"/>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row>
    <row r="376" spans="1:53" s="7" customFormat="1" ht="141.75">
      <c r="A376" s="618"/>
      <c r="B376" s="545"/>
      <c r="C376" s="334" t="s">
        <v>1118</v>
      </c>
      <c r="D376" s="166" t="s">
        <v>302</v>
      </c>
      <c r="E376" s="280" t="s">
        <v>16</v>
      </c>
      <c r="F376" s="265">
        <v>1</v>
      </c>
      <c r="G376" s="166" t="s">
        <v>303</v>
      </c>
      <c r="H376" s="163">
        <v>7000000</v>
      </c>
      <c r="I376" s="284">
        <v>5</v>
      </c>
      <c r="J376" s="184">
        <f>2*H376</f>
        <v>14000000</v>
      </c>
      <c r="K376" s="184">
        <f>3*H376</f>
        <v>21000000</v>
      </c>
      <c r="L376" s="184"/>
      <c r="M376" s="184" t="s">
        <v>512</v>
      </c>
      <c r="N376" s="184" t="s">
        <v>512</v>
      </c>
      <c r="O376" s="45">
        <f>P376/500</f>
        <v>70000</v>
      </c>
      <c r="P376" s="347">
        <f t="shared" si="38"/>
        <v>35000000</v>
      </c>
      <c r="Q376" s="252"/>
      <c r="R376" s="252"/>
      <c r="S376" s="208"/>
      <c r="T376" s="28"/>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row>
    <row r="377" spans="1:53" s="7" customFormat="1" ht="63">
      <c r="A377" s="618"/>
      <c r="B377" s="545"/>
      <c r="C377" s="258" t="s">
        <v>1119</v>
      </c>
      <c r="D377" s="258" t="s">
        <v>305</v>
      </c>
      <c r="E377" s="280">
        <v>0</v>
      </c>
      <c r="F377" s="257">
        <v>1</v>
      </c>
      <c r="G377" s="115" t="s">
        <v>306</v>
      </c>
      <c r="H377" s="163" t="s">
        <v>28</v>
      </c>
      <c r="I377" s="284" t="s">
        <v>28</v>
      </c>
      <c r="J377" s="184"/>
      <c r="K377" s="184"/>
      <c r="L377" s="184"/>
      <c r="M377" s="184"/>
      <c r="N377" s="184"/>
      <c r="O377" s="45" t="s">
        <v>512</v>
      </c>
      <c r="P377" s="163" t="s">
        <v>512</v>
      </c>
      <c r="Q377" s="252"/>
      <c r="R377" s="252"/>
      <c r="S377" s="208"/>
      <c r="T377" s="28"/>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row>
    <row r="378" spans="1:53" s="7" customFormat="1" ht="78.75">
      <c r="A378" s="618"/>
      <c r="B378" s="545"/>
      <c r="C378" s="121" t="s">
        <v>1120</v>
      </c>
      <c r="D378" s="166" t="s">
        <v>307</v>
      </c>
      <c r="E378" s="280">
        <v>0</v>
      </c>
      <c r="F378" s="257">
        <v>20</v>
      </c>
      <c r="G378" s="115" t="s">
        <v>308</v>
      </c>
      <c r="H378" s="163" t="s">
        <v>28</v>
      </c>
      <c r="I378" s="284" t="s">
        <v>28</v>
      </c>
      <c r="J378" s="184"/>
      <c r="K378" s="184"/>
      <c r="L378" s="184"/>
      <c r="M378" s="184"/>
      <c r="N378" s="184"/>
      <c r="O378" s="45"/>
      <c r="P378" s="163" t="s">
        <v>512</v>
      </c>
      <c r="Q378" s="252"/>
      <c r="R378" s="252"/>
      <c r="S378" s="208"/>
      <c r="T378" s="28"/>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row>
    <row r="379" spans="1:53" s="7" customFormat="1" ht="47.25">
      <c r="A379" s="618"/>
      <c r="B379" s="545"/>
      <c r="C379" s="258"/>
      <c r="D379" s="115" t="s">
        <v>309</v>
      </c>
      <c r="E379" s="280" t="s">
        <v>16</v>
      </c>
      <c r="F379" s="265">
        <v>1</v>
      </c>
      <c r="G379" s="115" t="s">
        <v>524</v>
      </c>
      <c r="H379" s="163">
        <f>7000000</f>
        <v>7000000</v>
      </c>
      <c r="I379" s="284">
        <v>10</v>
      </c>
      <c r="J379" s="184">
        <f>5*H379</f>
        <v>35000000</v>
      </c>
      <c r="K379" s="184">
        <f>5*H379</f>
        <v>35000000</v>
      </c>
      <c r="L379" s="184" t="s">
        <v>512</v>
      </c>
      <c r="M379" s="184" t="s">
        <v>512</v>
      </c>
      <c r="N379" s="184" t="s">
        <v>512</v>
      </c>
      <c r="O379" s="45">
        <f>P379/500</f>
        <v>140000</v>
      </c>
      <c r="P379" s="163">
        <f>H379*I379</f>
        <v>70000000</v>
      </c>
      <c r="Q379" s="252"/>
      <c r="R379" s="252"/>
      <c r="S379" s="208"/>
      <c r="T379" s="28"/>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row>
    <row r="380" spans="1:53" s="7" customFormat="1" ht="63">
      <c r="A380" s="618"/>
      <c r="B380" s="545"/>
      <c r="C380" s="258" t="s">
        <v>1121</v>
      </c>
      <c r="D380" s="258" t="s">
        <v>310</v>
      </c>
      <c r="E380" s="280" t="s">
        <v>16</v>
      </c>
      <c r="F380" s="265">
        <v>1</v>
      </c>
      <c r="G380" s="464" t="s">
        <v>311</v>
      </c>
      <c r="H380" s="616" t="s">
        <v>28</v>
      </c>
      <c r="I380" s="623" t="s">
        <v>28</v>
      </c>
      <c r="J380" s="184"/>
      <c r="K380" s="184"/>
      <c r="L380" s="184"/>
      <c r="M380" s="184"/>
      <c r="N380" s="184"/>
      <c r="O380" s="45"/>
      <c r="P380" s="616" t="s">
        <v>28</v>
      </c>
      <c r="Q380" s="536"/>
      <c r="R380" s="535"/>
      <c r="S380" s="621"/>
      <c r="T380" s="28"/>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row>
    <row r="381" spans="1:53" s="7" customFormat="1" ht="58.5" customHeight="1">
      <c r="A381" s="618"/>
      <c r="B381" s="545"/>
      <c r="C381" s="258"/>
      <c r="D381" s="258" t="s">
        <v>312</v>
      </c>
      <c r="E381" s="280" t="s">
        <v>16</v>
      </c>
      <c r="F381" s="265">
        <v>1</v>
      </c>
      <c r="G381" s="464"/>
      <c r="H381" s="616"/>
      <c r="I381" s="623"/>
      <c r="J381" s="184"/>
      <c r="K381" s="184"/>
      <c r="L381" s="184"/>
      <c r="M381" s="184"/>
      <c r="N381" s="184"/>
      <c r="O381" s="45"/>
      <c r="P381" s="616"/>
      <c r="Q381" s="536"/>
      <c r="R381" s="535"/>
      <c r="S381" s="621"/>
      <c r="T381" s="28"/>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row>
    <row r="382" spans="1:53" s="7" customFormat="1" ht="58.5" customHeight="1">
      <c r="A382" s="618"/>
      <c r="B382" s="458" t="s">
        <v>1122</v>
      </c>
      <c r="C382" s="456" t="s">
        <v>1123</v>
      </c>
      <c r="D382" s="258"/>
      <c r="E382" s="280" t="s">
        <v>16</v>
      </c>
      <c r="F382" s="265">
        <v>2</v>
      </c>
      <c r="G382" s="166" t="s">
        <v>678</v>
      </c>
      <c r="H382" s="163"/>
      <c r="I382" s="284"/>
      <c r="J382" s="184"/>
      <c r="K382" s="184"/>
      <c r="L382" s="184"/>
      <c r="M382" s="184"/>
      <c r="N382" s="184"/>
      <c r="O382" s="45"/>
      <c r="P382" s="163"/>
      <c r="Q382" s="114" t="s">
        <v>594</v>
      </c>
      <c r="R382" s="401"/>
      <c r="S382" s="210"/>
      <c r="T382" s="28"/>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row>
    <row r="383" spans="1:53" s="7" customFormat="1" ht="30" customHeight="1">
      <c r="A383" s="618"/>
      <c r="B383" s="459"/>
      <c r="C383" s="457"/>
      <c r="D383" s="258" t="s">
        <v>677</v>
      </c>
      <c r="E383" s="280" t="s">
        <v>16</v>
      </c>
      <c r="F383" s="265">
        <v>2</v>
      </c>
      <c r="G383" s="166" t="s">
        <v>301</v>
      </c>
      <c r="H383" s="162">
        <v>5000</v>
      </c>
      <c r="I383" s="240">
        <v>5000</v>
      </c>
      <c r="J383" s="184">
        <v>10000000</v>
      </c>
      <c r="K383" s="184">
        <f>1500*5000</f>
        <v>7500000</v>
      </c>
      <c r="L383" s="184">
        <v>5000000</v>
      </c>
      <c r="M383" s="184">
        <v>2500000</v>
      </c>
      <c r="N383" s="184"/>
      <c r="O383" s="45">
        <f>H383/500</f>
        <v>10</v>
      </c>
      <c r="P383" s="162">
        <f>H383*I383</f>
        <v>25000000</v>
      </c>
      <c r="Q383" s="252" t="s">
        <v>594</v>
      </c>
      <c r="R383" s="252"/>
      <c r="S383" s="208"/>
      <c r="T383" s="28"/>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row>
    <row r="384" spans="1:53" s="7" customFormat="1" ht="65.25" customHeight="1">
      <c r="A384" s="618"/>
      <c r="B384" s="459"/>
      <c r="C384" s="464" t="s">
        <v>1124</v>
      </c>
      <c r="D384" s="166" t="s">
        <v>313</v>
      </c>
      <c r="E384" s="280" t="s">
        <v>16</v>
      </c>
      <c r="F384" s="330">
        <v>1</v>
      </c>
      <c r="G384" s="441" t="s">
        <v>1125</v>
      </c>
      <c r="H384" s="616">
        <v>1000000</v>
      </c>
      <c r="I384" s="623">
        <v>1</v>
      </c>
      <c r="J384" s="624">
        <v>1000000</v>
      </c>
      <c r="K384" s="626">
        <v>0</v>
      </c>
      <c r="L384" s="626">
        <v>0</v>
      </c>
      <c r="M384" s="626">
        <v>0</v>
      </c>
      <c r="N384" s="626">
        <v>0</v>
      </c>
      <c r="O384" s="586">
        <f>H384/500</f>
        <v>2000</v>
      </c>
      <c r="P384" s="622">
        <f>H384*I384</f>
        <v>1000000</v>
      </c>
      <c r="Q384" s="536" t="s">
        <v>304</v>
      </c>
      <c r="R384" s="536" t="s">
        <v>314</v>
      </c>
      <c r="S384" s="628"/>
      <c r="T384" s="28"/>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row>
    <row r="385" spans="1:53" s="7" customFormat="1" ht="15.75">
      <c r="A385" s="618"/>
      <c r="B385" s="459"/>
      <c r="C385" s="464"/>
      <c r="D385" s="166" t="s">
        <v>315</v>
      </c>
      <c r="E385" s="280">
        <v>0</v>
      </c>
      <c r="F385" s="257">
        <v>1</v>
      </c>
      <c r="G385" s="442"/>
      <c r="H385" s="616"/>
      <c r="I385" s="623"/>
      <c r="J385" s="625"/>
      <c r="K385" s="627"/>
      <c r="L385" s="627"/>
      <c r="M385" s="627"/>
      <c r="N385" s="627"/>
      <c r="O385" s="587"/>
      <c r="P385" s="622"/>
      <c r="Q385" s="536"/>
      <c r="R385" s="536"/>
      <c r="S385" s="628"/>
      <c r="T385" s="28"/>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row>
    <row r="386" spans="1:53" s="7" customFormat="1" ht="94.5">
      <c r="A386" s="618"/>
      <c r="B386" s="459"/>
      <c r="C386" s="166" t="s">
        <v>1126</v>
      </c>
      <c r="D386" s="166" t="s">
        <v>316</v>
      </c>
      <c r="E386" s="280" t="s">
        <v>16</v>
      </c>
      <c r="F386" s="265">
        <v>1</v>
      </c>
      <c r="G386" s="166" t="s">
        <v>317</v>
      </c>
      <c r="H386" s="163">
        <v>1000000</v>
      </c>
      <c r="I386" s="284">
        <v>1</v>
      </c>
      <c r="J386" s="184">
        <v>1000000</v>
      </c>
      <c r="K386" s="184">
        <v>0</v>
      </c>
      <c r="L386" s="184">
        <v>0</v>
      </c>
      <c r="M386" s="184">
        <v>0</v>
      </c>
      <c r="N386" s="184">
        <v>0</v>
      </c>
      <c r="O386" s="45">
        <f>H386/500</f>
        <v>2000</v>
      </c>
      <c r="P386" s="347">
        <f>H386*I386</f>
        <v>1000000</v>
      </c>
      <c r="Q386" s="252" t="s">
        <v>304</v>
      </c>
      <c r="R386" s="252" t="s">
        <v>314</v>
      </c>
      <c r="S386" s="208"/>
      <c r="T386" s="28"/>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row>
    <row r="387" spans="1:53" s="7" customFormat="1" ht="89.25" customHeight="1">
      <c r="A387" s="618"/>
      <c r="B387" s="460"/>
      <c r="C387" s="121" t="s">
        <v>1127</v>
      </c>
      <c r="D387" s="166" t="s">
        <v>318</v>
      </c>
      <c r="E387" s="280" t="s">
        <v>16</v>
      </c>
      <c r="F387" s="397">
        <v>1</v>
      </c>
      <c r="G387" s="166" t="s">
        <v>319</v>
      </c>
      <c r="H387" s="163" t="s">
        <v>28</v>
      </c>
      <c r="I387" s="284" t="s">
        <v>28</v>
      </c>
      <c r="J387" s="184"/>
      <c r="K387" s="184"/>
      <c r="L387" s="184"/>
      <c r="M387" s="184"/>
      <c r="N387" s="184"/>
      <c r="O387" s="45"/>
      <c r="P387" s="163" t="s">
        <v>28</v>
      </c>
      <c r="Q387" s="252" t="s">
        <v>304</v>
      </c>
      <c r="R387" s="401"/>
      <c r="S387" s="210"/>
      <c r="T387" s="28"/>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row>
    <row r="388" spans="1:53" s="7" customFormat="1" ht="78.75" customHeight="1">
      <c r="A388" s="618"/>
      <c r="B388" s="619" t="s">
        <v>1128</v>
      </c>
      <c r="C388" s="464" t="s">
        <v>1129</v>
      </c>
      <c r="D388" s="115" t="s">
        <v>320</v>
      </c>
      <c r="E388" s="257">
        <v>0</v>
      </c>
      <c r="F388" s="257">
        <v>1</v>
      </c>
      <c r="G388" s="470" t="s">
        <v>559</v>
      </c>
      <c r="H388" s="616">
        <v>7000000</v>
      </c>
      <c r="I388" s="623">
        <v>4</v>
      </c>
      <c r="J388" s="184">
        <f>H388</f>
        <v>7000000</v>
      </c>
      <c r="K388" s="184">
        <f>J388</f>
        <v>7000000</v>
      </c>
      <c r="L388" s="184">
        <f>K388</f>
        <v>7000000</v>
      </c>
      <c r="M388" s="184">
        <f>L388</f>
        <v>7000000</v>
      </c>
      <c r="N388" s="184">
        <v>0</v>
      </c>
      <c r="O388" s="45">
        <f>P388/500</f>
        <v>56000</v>
      </c>
      <c r="P388" s="347">
        <f>H388*I388</f>
        <v>28000000</v>
      </c>
      <c r="Q388" s="535" t="s">
        <v>304</v>
      </c>
      <c r="R388" s="535" t="s">
        <v>14</v>
      </c>
      <c r="S388" s="621"/>
      <c r="T388" s="28"/>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row>
    <row r="389" spans="1:53" s="7" customFormat="1" ht="31.5" customHeight="1">
      <c r="A389" s="618"/>
      <c r="B389" s="619"/>
      <c r="C389" s="464"/>
      <c r="D389" s="363" t="s">
        <v>321</v>
      </c>
      <c r="E389" s="280">
        <v>0</v>
      </c>
      <c r="F389" s="257">
        <v>10</v>
      </c>
      <c r="G389" s="464"/>
      <c r="H389" s="616"/>
      <c r="I389" s="623"/>
      <c r="J389" s="184"/>
      <c r="K389" s="184"/>
      <c r="L389" s="184"/>
      <c r="M389" s="184"/>
      <c r="N389" s="184"/>
      <c r="O389" s="45"/>
      <c r="P389" s="402"/>
      <c r="Q389" s="535"/>
      <c r="R389" s="535"/>
      <c r="S389" s="621"/>
      <c r="T389" s="28"/>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row>
    <row r="390" spans="1:53" s="7" customFormat="1" ht="40.5" customHeight="1">
      <c r="A390" s="618"/>
      <c r="B390" s="619"/>
      <c r="C390" s="464" t="s">
        <v>1130</v>
      </c>
      <c r="D390" s="115" t="s">
        <v>322</v>
      </c>
      <c r="E390" s="280">
        <v>0</v>
      </c>
      <c r="F390" s="257" t="s">
        <v>151</v>
      </c>
      <c r="G390" s="470" t="s">
        <v>323</v>
      </c>
      <c r="H390" s="616" t="s">
        <v>28</v>
      </c>
      <c r="I390" s="623" t="s">
        <v>28</v>
      </c>
      <c r="J390" s="184"/>
      <c r="K390" s="184"/>
      <c r="L390" s="184"/>
      <c r="M390" s="184"/>
      <c r="N390" s="184"/>
      <c r="O390" s="45"/>
      <c r="P390" s="622" t="s">
        <v>16</v>
      </c>
      <c r="Q390" s="536"/>
      <c r="R390" s="536"/>
      <c r="S390" s="628"/>
      <c r="T390" s="28"/>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row>
    <row r="391" spans="1:53" s="7" customFormat="1" ht="30" customHeight="1">
      <c r="A391" s="618"/>
      <c r="B391" s="619"/>
      <c r="C391" s="464"/>
      <c r="D391" s="363" t="s">
        <v>324</v>
      </c>
      <c r="E391" s="280">
        <v>0</v>
      </c>
      <c r="F391" s="257" t="s">
        <v>151</v>
      </c>
      <c r="G391" s="470"/>
      <c r="H391" s="616"/>
      <c r="I391" s="623"/>
      <c r="J391" s="184"/>
      <c r="K391" s="184"/>
      <c r="L391" s="184"/>
      <c r="M391" s="184"/>
      <c r="N391" s="184"/>
      <c r="O391" s="45"/>
      <c r="P391" s="622"/>
      <c r="Q391" s="536"/>
      <c r="R391" s="536"/>
      <c r="S391" s="628"/>
      <c r="T391" s="28"/>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row>
    <row r="392" spans="1:53" s="71" customFormat="1" ht="30" customHeight="1">
      <c r="A392" s="496"/>
      <c r="B392" s="497"/>
      <c r="C392" s="497"/>
      <c r="D392" s="497"/>
      <c r="E392" s="497"/>
      <c r="F392" s="497"/>
      <c r="G392" s="498"/>
      <c r="H392" s="320"/>
      <c r="I392" s="344"/>
      <c r="J392" s="185">
        <f>SUM(J372:J391)</f>
        <v>125500000</v>
      </c>
      <c r="K392" s="185">
        <f>SUM(K372:K391)</f>
        <v>71000000</v>
      </c>
      <c r="L392" s="185">
        <f>SUM(L372:L391)</f>
        <v>12500000</v>
      </c>
      <c r="M392" s="185">
        <f>SUM(M372:M391)</f>
        <v>9500000</v>
      </c>
      <c r="N392" s="185">
        <f>SUM(N372:N391)</f>
        <v>0</v>
      </c>
      <c r="O392" s="70"/>
      <c r="P392" s="320">
        <f>SUM(P372:P391)</f>
        <v>218500000</v>
      </c>
      <c r="Q392" s="345"/>
      <c r="R392" s="345"/>
      <c r="S392" s="209"/>
      <c r="T392" s="223"/>
      <c r="U392" s="224"/>
      <c r="V392" s="224"/>
      <c r="W392" s="224"/>
      <c r="X392" s="224"/>
      <c r="Y392" s="224"/>
      <c r="Z392" s="224"/>
      <c r="AA392" s="224"/>
      <c r="AB392" s="224"/>
      <c r="AC392" s="224"/>
      <c r="AD392" s="224"/>
      <c r="AE392" s="224"/>
      <c r="AF392" s="224"/>
      <c r="AG392" s="224"/>
      <c r="AH392" s="224"/>
      <c r="AI392" s="224"/>
      <c r="AJ392" s="224"/>
      <c r="AK392" s="224"/>
      <c r="AL392" s="224"/>
      <c r="AM392" s="224"/>
      <c r="AN392" s="224"/>
      <c r="AO392" s="224"/>
      <c r="AP392" s="224"/>
      <c r="AQ392" s="224"/>
      <c r="AR392" s="224"/>
      <c r="AS392" s="224"/>
      <c r="AT392" s="224"/>
      <c r="AU392" s="224"/>
      <c r="AV392" s="224"/>
      <c r="AW392" s="224"/>
      <c r="AX392" s="224"/>
      <c r="AY392" s="224"/>
      <c r="AZ392" s="224"/>
      <c r="BA392" s="224"/>
    </row>
    <row r="393" spans="1:53" s="7" customFormat="1" ht="123" customHeight="1">
      <c r="A393" s="488" t="s">
        <v>1131</v>
      </c>
      <c r="B393" s="483" t="s">
        <v>1132</v>
      </c>
      <c r="C393" s="114" t="s">
        <v>1133</v>
      </c>
      <c r="D393" s="252" t="s">
        <v>325</v>
      </c>
      <c r="E393" s="249">
        <v>0</v>
      </c>
      <c r="F393" s="249" t="s">
        <v>151</v>
      </c>
      <c r="G393" s="114" t="s">
        <v>481</v>
      </c>
      <c r="H393" s="163">
        <v>50000000</v>
      </c>
      <c r="I393" s="284">
        <v>1</v>
      </c>
      <c r="J393" s="184">
        <v>25000000</v>
      </c>
      <c r="K393" s="184">
        <v>25000000</v>
      </c>
      <c r="L393" s="184">
        <v>0</v>
      </c>
      <c r="M393" s="184">
        <v>0</v>
      </c>
      <c r="N393" s="184">
        <v>0</v>
      </c>
      <c r="O393" s="45">
        <f>H393/500</f>
        <v>100000</v>
      </c>
      <c r="P393" s="347">
        <f>H393*I393</f>
        <v>50000000</v>
      </c>
      <c r="Q393" s="252" t="s">
        <v>594</v>
      </c>
      <c r="R393" s="252" t="s">
        <v>679</v>
      </c>
      <c r="S393" s="208"/>
      <c r="T393" s="28"/>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row>
    <row r="394" spans="1:53" s="7" customFormat="1" ht="65.25" customHeight="1">
      <c r="A394" s="489"/>
      <c r="B394" s="484"/>
      <c r="C394" s="119" t="s">
        <v>1134</v>
      </c>
      <c r="D394" s="252" t="s">
        <v>326</v>
      </c>
      <c r="E394" s="249" t="s">
        <v>96</v>
      </c>
      <c r="F394" s="255" t="s">
        <v>96</v>
      </c>
      <c r="G394" s="114" t="s">
        <v>327</v>
      </c>
      <c r="H394" s="163">
        <v>5000000</v>
      </c>
      <c r="I394" s="284">
        <v>1</v>
      </c>
      <c r="J394" s="184">
        <f>H394</f>
        <v>5000000</v>
      </c>
      <c r="K394" s="184">
        <v>0</v>
      </c>
      <c r="L394" s="184">
        <v>0</v>
      </c>
      <c r="M394" s="184">
        <v>0</v>
      </c>
      <c r="N394" s="184">
        <v>0</v>
      </c>
      <c r="O394" s="45">
        <f>H394/500</f>
        <v>10000</v>
      </c>
      <c r="P394" s="347">
        <f>H394*I394</f>
        <v>5000000</v>
      </c>
      <c r="Q394" s="252" t="s">
        <v>594</v>
      </c>
      <c r="R394" s="252" t="s">
        <v>680</v>
      </c>
      <c r="S394" s="208"/>
      <c r="T394" s="28"/>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row>
    <row r="395" spans="1:53" s="7" customFormat="1" ht="52.5" customHeight="1">
      <c r="A395" s="489"/>
      <c r="B395" s="485" t="s">
        <v>1135</v>
      </c>
      <c r="C395" s="647" t="s">
        <v>1136</v>
      </c>
      <c r="D395" s="252" t="s">
        <v>328</v>
      </c>
      <c r="E395" s="249">
        <v>0</v>
      </c>
      <c r="F395" s="255">
        <v>1</v>
      </c>
      <c r="G395" s="536" t="s">
        <v>329</v>
      </c>
      <c r="H395" s="629" t="s">
        <v>28</v>
      </c>
      <c r="I395" s="630">
        <v>1</v>
      </c>
      <c r="J395" s="184"/>
      <c r="K395" s="184"/>
      <c r="L395" s="184"/>
      <c r="M395" s="184"/>
      <c r="N395" s="184"/>
      <c r="O395" s="632"/>
      <c r="P395" s="629" t="s">
        <v>28</v>
      </c>
      <c r="Q395" s="536"/>
      <c r="R395" s="536"/>
      <c r="S395" s="639"/>
      <c r="T395" s="28"/>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row>
    <row r="396" spans="1:53" s="7" customFormat="1" ht="39" customHeight="1">
      <c r="A396" s="489"/>
      <c r="B396" s="486"/>
      <c r="C396" s="648"/>
      <c r="D396" s="364" t="s">
        <v>330</v>
      </c>
      <c r="E396" s="249" t="s">
        <v>16</v>
      </c>
      <c r="F396" s="255" t="s">
        <v>151</v>
      </c>
      <c r="G396" s="536"/>
      <c r="H396" s="629"/>
      <c r="I396" s="630"/>
      <c r="J396" s="184"/>
      <c r="K396" s="184"/>
      <c r="L396" s="184"/>
      <c r="M396" s="184"/>
      <c r="N396" s="184"/>
      <c r="O396" s="633"/>
      <c r="P396" s="629"/>
      <c r="Q396" s="536"/>
      <c r="R396" s="536"/>
      <c r="S396" s="639"/>
      <c r="T396" s="28"/>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row>
    <row r="397" spans="1:53" s="7" customFormat="1" ht="37.5" customHeight="1">
      <c r="A397" s="490"/>
      <c r="B397" s="487"/>
      <c r="C397" s="649"/>
      <c r="D397" s="364" t="s">
        <v>330</v>
      </c>
      <c r="E397" s="249" t="s">
        <v>16</v>
      </c>
      <c r="F397" s="255" t="s">
        <v>151</v>
      </c>
      <c r="G397" s="536"/>
      <c r="H397" s="629"/>
      <c r="I397" s="630"/>
      <c r="J397" s="184"/>
      <c r="K397" s="184"/>
      <c r="L397" s="184"/>
      <c r="M397" s="184"/>
      <c r="N397" s="184"/>
      <c r="O397" s="634"/>
      <c r="P397" s="629">
        <f aca="true" t="shared" si="40" ref="P397:P406">H397*I397</f>
        <v>0</v>
      </c>
      <c r="Q397" s="536"/>
      <c r="R397" s="536"/>
      <c r="S397" s="639"/>
      <c r="T397" s="28"/>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row>
    <row r="398" spans="1:53" s="71" customFormat="1" ht="25.5" customHeight="1">
      <c r="A398" s="424" t="s">
        <v>575</v>
      </c>
      <c r="B398" s="425"/>
      <c r="C398" s="425"/>
      <c r="D398" s="425"/>
      <c r="E398" s="425"/>
      <c r="F398" s="425"/>
      <c r="G398" s="426"/>
      <c r="H398" s="174"/>
      <c r="I398" s="403"/>
      <c r="J398" s="185">
        <f>SUM(J393:J397)</f>
        <v>30000000</v>
      </c>
      <c r="K398" s="185">
        <f>SUM(K393:K397)</f>
        <v>25000000</v>
      </c>
      <c r="L398" s="185">
        <f>SUM(L393:L397)</f>
        <v>0</v>
      </c>
      <c r="M398" s="185">
        <f>SUM(M393:M397)</f>
        <v>0</v>
      </c>
      <c r="N398" s="185">
        <f>SUM(N393:N397)</f>
        <v>0</v>
      </c>
      <c r="O398" s="404"/>
      <c r="P398" s="174">
        <f>SUM(P393:P397)</f>
        <v>55000000</v>
      </c>
      <c r="Q398" s="345"/>
      <c r="R398" s="345"/>
      <c r="S398" s="346"/>
      <c r="T398" s="223"/>
      <c r="U398" s="224"/>
      <c r="V398" s="224"/>
      <c r="W398" s="224"/>
      <c r="X398" s="224"/>
      <c r="Y398" s="224"/>
      <c r="Z398" s="224"/>
      <c r="AA398" s="224"/>
      <c r="AB398" s="224"/>
      <c r="AC398" s="224"/>
      <c r="AD398" s="224"/>
      <c r="AE398" s="224"/>
      <c r="AF398" s="224"/>
      <c r="AG398" s="224"/>
      <c r="AH398" s="224"/>
      <c r="AI398" s="224"/>
      <c r="AJ398" s="224"/>
      <c r="AK398" s="224"/>
      <c r="AL398" s="224"/>
      <c r="AM398" s="224"/>
      <c r="AN398" s="224"/>
      <c r="AO398" s="224"/>
      <c r="AP398" s="224"/>
      <c r="AQ398" s="224"/>
      <c r="AR398" s="224"/>
      <c r="AS398" s="224"/>
      <c r="AT398" s="224"/>
      <c r="AU398" s="224"/>
      <c r="AV398" s="224"/>
      <c r="AW398" s="224"/>
      <c r="AX398" s="224"/>
      <c r="AY398" s="224"/>
      <c r="AZ398" s="224"/>
      <c r="BA398" s="224"/>
    </row>
    <row r="399" spans="1:53" s="51" customFormat="1" ht="72.75" customHeight="1">
      <c r="A399" s="480" t="s">
        <v>1137</v>
      </c>
      <c r="B399" s="636" t="s">
        <v>1138</v>
      </c>
      <c r="C399" s="441" t="s">
        <v>1139</v>
      </c>
      <c r="D399" s="166" t="s">
        <v>580</v>
      </c>
      <c r="E399" s="257" t="s">
        <v>16</v>
      </c>
      <c r="F399" s="257">
        <v>1</v>
      </c>
      <c r="G399" s="166" t="s">
        <v>578</v>
      </c>
      <c r="H399" s="166"/>
      <c r="I399" s="405"/>
      <c r="J399" s="114"/>
      <c r="K399" s="114"/>
      <c r="L399" s="114"/>
      <c r="M399" s="114"/>
      <c r="N399" s="114"/>
      <c r="O399" s="405"/>
      <c r="P399" s="114"/>
      <c r="Q399" s="114"/>
      <c r="R399" s="114"/>
      <c r="S399" s="310"/>
      <c r="T399" s="225"/>
      <c r="U399" s="225"/>
      <c r="V399" s="225"/>
      <c r="W399" s="225"/>
      <c r="X399" s="225"/>
      <c r="Y399" s="225"/>
      <c r="Z399" s="225"/>
      <c r="AA399" s="225"/>
      <c r="AB399" s="225"/>
      <c r="AC399" s="225"/>
      <c r="AD399" s="225"/>
      <c r="AE399" s="225"/>
      <c r="AF399" s="225"/>
      <c r="AG399" s="225"/>
      <c r="AH399" s="225"/>
      <c r="AI399" s="225"/>
      <c r="AJ399" s="225"/>
      <c r="AK399" s="225"/>
      <c r="AL399" s="225"/>
      <c r="AM399" s="225"/>
      <c r="AN399" s="225"/>
      <c r="AO399" s="225"/>
      <c r="AP399" s="225"/>
      <c r="AQ399" s="225"/>
      <c r="AR399" s="225"/>
      <c r="AS399" s="225"/>
      <c r="AT399" s="225"/>
      <c r="AU399" s="225"/>
      <c r="AV399" s="225"/>
      <c r="AW399" s="225"/>
      <c r="AX399" s="225"/>
      <c r="AY399" s="225"/>
      <c r="AZ399" s="225"/>
      <c r="BA399" s="225"/>
    </row>
    <row r="400" spans="1:53" s="51" customFormat="1" ht="33.75" customHeight="1">
      <c r="A400" s="481"/>
      <c r="B400" s="637"/>
      <c r="C400" s="442"/>
      <c r="D400" s="166" t="s">
        <v>579</v>
      </c>
      <c r="E400" s="257"/>
      <c r="F400" s="257"/>
      <c r="G400" s="166" t="s">
        <v>581</v>
      </c>
      <c r="H400" s="166"/>
      <c r="I400" s="405"/>
      <c r="J400" s="114"/>
      <c r="K400" s="114"/>
      <c r="L400" s="114"/>
      <c r="M400" s="114"/>
      <c r="N400" s="114"/>
      <c r="O400" s="405"/>
      <c r="P400" s="114"/>
      <c r="Q400" s="114"/>
      <c r="R400" s="114"/>
      <c r="S400" s="310"/>
      <c r="T400" s="225"/>
      <c r="U400" s="225"/>
      <c r="V400" s="225"/>
      <c r="W400" s="225"/>
      <c r="X400" s="225"/>
      <c r="Y400" s="225"/>
      <c r="Z400" s="225"/>
      <c r="AA400" s="225"/>
      <c r="AB400" s="225"/>
      <c r="AC400" s="225"/>
      <c r="AD400" s="225"/>
      <c r="AE400" s="225"/>
      <c r="AF400" s="225"/>
      <c r="AG400" s="225"/>
      <c r="AH400" s="225"/>
      <c r="AI400" s="225"/>
      <c r="AJ400" s="225"/>
      <c r="AK400" s="225"/>
      <c r="AL400" s="225"/>
      <c r="AM400" s="225"/>
      <c r="AN400" s="225"/>
      <c r="AO400" s="225"/>
      <c r="AP400" s="225"/>
      <c r="AQ400" s="225"/>
      <c r="AR400" s="225"/>
      <c r="AS400" s="225"/>
      <c r="AT400" s="225"/>
      <c r="AU400" s="225"/>
      <c r="AV400" s="225"/>
      <c r="AW400" s="225"/>
      <c r="AX400" s="225"/>
      <c r="AY400" s="225"/>
      <c r="AZ400" s="225"/>
      <c r="BA400" s="225"/>
    </row>
    <row r="401" spans="1:53" s="7" customFormat="1" ht="78.75" customHeight="1">
      <c r="A401" s="481"/>
      <c r="B401" s="637"/>
      <c r="C401" s="166" t="s">
        <v>1140</v>
      </c>
      <c r="D401" s="115" t="s">
        <v>331</v>
      </c>
      <c r="E401" s="257" t="s">
        <v>16</v>
      </c>
      <c r="F401" s="257">
        <v>10</v>
      </c>
      <c r="G401" s="166" t="s">
        <v>332</v>
      </c>
      <c r="H401" s="163">
        <v>100000000</v>
      </c>
      <c r="I401" s="284">
        <v>10</v>
      </c>
      <c r="J401" s="184">
        <v>200000000</v>
      </c>
      <c r="K401" s="184">
        <v>400000000</v>
      </c>
      <c r="L401" s="184">
        <v>200000000</v>
      </c>
      <c r="M401" s="184">
        <v>200000000</v>
      </c>
      <c r="N401" s="184"/>
      <c r="O401" s="45">
        <f>H401/500</f>
        <v>200000</v>
      </c>
      <c r="P401" s="347">
        <f t="shared" si="40"/>
        <v>1000000000</v>
      </c>
      <c r="Q401" s="252" t="s">
        <v>144</v>
      </c>
      <c r="R401" s="252" t="s">
        <v>333</v>
      </c>
      <c r="S401" s="208"/>
      <c r="T401" s="28"/>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row>
    <row r="402" spans="1:53" s="7" customFormat="1" ht="126">
      <c r="A402" s="481"/>
      <c r="B402" s="637"/>
      <c r="C402" s="121" t="s">
        <v>1141</v>
      </c>
      <c r="D402" s="115" t="s">
        <v>334</v>
      </c>
      <c r="E402" s="257" t="s">
        <v>16</v>
      </c>
      <c r="F402" s="257">
        <v>10</v>
      </c>
      <c r="G402" s="166" t="s">
        <v>335</v>
      </c>
      <c r="H402" s="163">
        <v>1500000</v>
      </c>
      <c r="I402" s="284">
        <v>10</v>
      </c>
      <c r="J402" s="184">
        <v>3000000</v>
      </c>
      <c r="K402" s="184">
        <v>3000000</v>
      </c>
      <c r="L402" s="184">
        <v>3000000</v>
      </c>
      <c r="M402" s="184">
        <v>3000000</v>
      </c>
      <c r="N402" s="184">
        <v>3000000</v>
      </c>
      <c r="O402" s="45">
        <f>H402/500</f>
        <v>3000</v>
      </c>
      <c r="P402" s="347">
        <f t="shared" si="40"/>
        <v>15000000</v>
      </c>
      <c r="Q402" s="252"/>
      <c r="R402" s="252"/>
      <c r="S402" s="208"/>
      <c r="T402" s="28"/>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row>
    <row r="403" spans="1:53" s="7" customFormat="1" ht="110.25">
      <c r="A403" s="481"/>
      <c r="B403" s="638"/>
      <c r="C403" s="121" t="s">
        <v>1142</v>
      </c>
      <c r="D403" s="115" t="s">
        <v>336</v>
      </c>
      <c r="E403" s="257" t="s">
        <v>16</v>
      </c>
      <c r="F403" s="257">
        <v>10</v>
      </c>
      <c r="G403" s="166" t="s">
        <v>337</v>
      </c>
      <c r="H403" s="163">
        <v>1500000</v>
      </c>
      <c r="I403" s="284">
        <v>10</v>
      </c>
      <c r="J403" s="184">
        <v>3000000</v>
      </c>
      <c r="K403" s="184">
        <v>3000000</v>
      </c>
      <c r="L403" s="184">
        <v>3000000</v>
      </c>
      <c r="M403" s="184">
        <v>3000000</v>
      </c>
      <c r="N403" s="184">
        <v>3000000</v>
      </c>
      <c r="O403" s="45">
        <f>H403/500</f>
        <v>3000</v>
      </c>
      <c r="P403" s="347">
        <f t="shared" si="40"/>
        <v>15000000</v>
      </c>
      <c r="Q403" s="252"/>
      <c r="R403" s="252"/>
      <c r="S403" s="208"/>
      <c r="T403" s="28"/>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row>
    <row r="404" spans="1:53" s="7" customFormat="1" ht="96" customHeight="1">
      <c r="A404" s="481"/>
      <c r="B404" s="640" t="s">
        <v>1143</v>
      </c>
      <c r="C404" s="121" t="s">
        <v>1144</v>
      </c>
      <c r="D404" s="115" t="s">
        <v>338</v>
      </c>
      <c r="E404" s="257" t="s">
        <v>16</v>
      </c>
      <c r="F404" s="280">
        <v>20</v>
      </c>
      <c r="G404" s="166" t="s">
        <v>557</v>
      </c>
      <c r="H404" s="163" t="s">
        <v>28</v>
      </c>
      <c r="I404" s="284">
        <v>5</v>
      </c>
      <c r="J404" s="184">
        <v>0</v>
      </c>
      <c r="K404" s="184">
        <v>0</v>
      </c>
      <c r="L404" s="184">
        <v>0</v>
      </c>
      <c r="M404" s="184">
        <v>0</v>
      </c>
      <c r="N404" s="184">
        <v>0</v>
      </c>
      <c r="O404" s="45" t="s">
        <v>28</v>
      </c>
      <c r="P404" s="347" t="s">
        <v>28</v>
      </c>
      <c r="Q404" s="252" t="s">
        <v>144</v>
      </c>
      <c r="R404" s="252"/>
      <c r="S404" s="208"/>
      <c r="T404" s="28"/>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row>
    <row r="405" spans="1:53" s="7" customFormat="1" ht="61.5" customHeight="1">
      <c r="A405" s="481"/>
      <c r="B405" s="640"/>
      <c r="C405" s="470" t="s">
        <v>1145</v>
      </c>
      <c r="D405" s="115" t="s">
        <v>339</v>
      </c>
      <c r="E405" s="257">
        <v>0</v>
      </c>
      <c r="F405" s="280">
        <v>1</v>
      </c>
      <c r="G405" s="115" t="s">
        <v>525</v>
      </c>
      <c r="H405" s="328">
        <f>700000</f>
        <v>700000</v>
      </c>
      <c r="I405" s="284">
        <v>15</v>
      </c>
      <c r="J405" s="184">
        <v>5250000</v>
      </c>
      <c r="K405" s="184">
        <v>5250000</v>
      </c>
      <c r="L405" s="184" t="s">
        <v>512</v>
      </c>
      <c r="M405" s="184" t="s">
        <v>512</v>
      </c>
      <c r="N405" s="184" t="s">
        <v>512</v>
      </c>
      <c r="O405" s="44">
        <f>P405/500</f>
        <v>21000</v>
      </c>
      <c r="P405" s="347">
        <f t="shared" si="40"/>
        <v>10500000</v>
      </c>
      <c r="Q405" s="374"/>
      <c r="R405" s="406"/>
      <c r="S405" s="407"/>
      <c r="T405" s="28"/>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row>
    <row r="406" spans="1:53" s="7" customFormat="1" ht="37.5" customHeight="1">
      <c r="A406" s="482"/>
      <c r="B406" s="640"/>
      <c r="C406" s="470"/>
      <c r="D406" s="115" t="s">
        <v>340</v>
      </c>
      <c r="E406" s="257" t="s">
        <v>16</v>
      </c>
      <c r="F406" s="280" t="s">
        <v>96</v>
      </c>
      <c r="G406" s="121" t="s">
        <v>483</v>
      </c>
      <c r="H406" s="163">
        <v>25000000</v>
      </c>
      <c r="I406" s="284">
        <v>20</v>
      </c>
      <c r="J406" s="184">
        <v>100000000</v>
      </c>
      <c r="K406" s="184">
        <v>100000000</v>
      </c>
      <c r="L406" s="184">
        <v>100000000</v>
      </c>
      <c r="M406" s="184">
        <v>100000000</v>
      </c>
      <c r="N406" s="184">
        <v>100000000</v>
      </c>
      <c r="O406" s="45">
        <f aca="true" t="shared" si="41" ref="O406:O412">H406/500</f>
        <v>50000</v>
      </c>
      <c r="P406" s="347">
        <f t="shared" si="40"/>
        <v>500000000</v>
      </c>
      <c r="Q406" s="252" t="s">
        <v>144</v>
      </c>
      <c r="R406" s="252"/>
      <c r="S406" s="208"/>
      <c r="T406" s="28"/>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row>
    <row r="407" spans="1:53" s="71" customFormat="1" ht="25.5" customHeight="1">
      <c r="A407" s="424" t="s">
        <v>574</v>
      </c>
      <c r="B407" s="425"/>
      <c r="C407" s="425"/>
      <c r="D407" s="425"/>
      <c r="E407" s="425"/>
      <c r="F407" s="425"/>
      <c r="G407" s="426"/>
      <c r="H407" s="320"/>
      <c r="I407" s="344"/>
      <c r="J407" s="185">
        <f>SUM(J401:J406)</f>
        <v>311250000</v>
      </c>
      <c r="K407" s="185">
        <f>SUM(K401:K406)</f>
        <v>511250000</v>
      </c>
      <c r="L407" s="185">
        <f>SUM(L401:L406)</f>
        <v>306000000</v>
      </c>
      <c r="M407" s="185">
        <f>SUM(M401:M406)</f>
        <v>306000000</v>
      </c>
      <c r="N407" s="185">
        <f>SUM(N401:N406)</f>
        <v>106000000</v>
      </c>
      <c r="O407" s="70"/>
      <c r="P407" s="320">
        <f>SUM(P401:P406)</f>
        <v>1540500000</v>
      </c>
      <c r="Q407" s="345"/>
      <c r="R407" s="345"/>
      <c r="S407" s="209"/>
      <c r="T407" s="223"/>
      <c r="U407" s="224"/>
      <c r="V407" s="224"/>
      <c r="W407" s="224"/>
      <c r="X407" s="224"/>
      <c r="Y407" s="224"/>
      <c r="Z407" s="224"/>
      <c r="AA407" s="224"/>
      <c r="AB407" s="224"/>
      <c r="AC407" s="224"/>
      <c r="AD407" s="224"/>
      <c r="AE407" s="224"/>
      <c r="AF407" s="224"/>
      <c r="AG407" s="224"/>
      <c r="AH407" s="224"/>
      <c r="AI407" s="224"/>
      <c r="AJ407" s="224"/>
      <c r="AK407" s="224"/>
      <c r="AL407" s="224"/>
      <c r="AM407" s="224"/>
      <c r="AN407" s="224"/>
      <c r="AO407" s="224"/>
      <c r="AP407" s="224"/>
      <c r="AQ407" s="224"/>
      <c r="AR407" s="224"/>
      <c r="AS407" s="224"/>
      <c r="AT407" s="224"/>
      <c r="AU407" s="224"/>
      <c r="AV407" s="224"/>
      <c r="AW407" s="224"/>
      <c r="AX407" s="224"/>
      <c r="AY407" s="224"/>
      <c r="AZ407" s="224"/>
      <c r="BA407" s="224"/>
    </row>
    <row r="408" spans="1:53" s="7" customFormat="1" ht="63" customHeight="1">
      <c r="A408" s="642" t="s">
        <v>1146</v>
      </c>
      <c r="B408" s="641" t="s">
        <v>1147</v>
      </c>
      <c r="C408" s="318" t="s">
        <v>1148</v>
      </c>
      <c r="D408" s="252" t="s">
        <v>341</v>
      </c>
      <c r="E408" s="280">
        <v>0</v>
      </c>
      <c r="F408" s="280">
        <v>1</v>
      </c>
      <c r="G408" s="166" t="s">
        <v>342</v>
      </c>
      <c r="H408" s="163">
        <v>1000000</v>
      </c>
      <c r="I408" s="284">
        <v>1</v>
      </c>
      <c r="J408" s="184">
        <f>H408*1</f>
        <v>1000000</v>
      </c>
      <c r="K408" s="184">
        <v>0</v>
      </c>
      <c r="L408" s="184">
        <v>0</v>
      </c>
      <c r="M408" s="184">
        <v>0</v>
      </c>
      <c r="N408" s="184">
        <v>0</v>
      </c>
      <c r="O408" s="45">
        <f t="shared" si="41"/>
        <v>2000</v>
      </c>
      <c r="P408" s="347">
        <f>H408*I408</f>
        <v>1000000</v>
      </c>
      <c r="Q408" s="252"/>
      <c r="R408" s="252"/>
      <c r="S408" s="208"/>
      <c r="T408" s="28"/>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row>
    <row r="409" spans="1:53" s="7" customFormat="1" ht="47.25">
      <c r="A409" s="643"/>
      <c r="B409" s="641"/>
      <c r="C409" s="534" t="s">
        <v>1149</v>
      </c>
      <c r="D409" s="635" t="s">
        <v>343</v>
      </c>
      <c r="E409" s="546">
        <v>0</v>
      </c>
      <c r="F409" s="631">
        <v>19</v>
      </c>
      <c r="G409" s="114" t="s">
        <v>344</v>
      </c>
      <c r="H409" s="163">
        <v>10000000</v>
      </c>
      <c r="I409" s="284">
        <v>1</v>
      </c>
      <c r="J409" s="184">
        <v>10000000</v>
      </c>
      <c r="K409" s="184">
        <v>0</v>
      </c>
      <c r="L409" s="184">
        <v>0</v>
      </c>
      <c r="M409" s="184">
        <v>0</v>
      </c>
      <c r="N409" s="184">
        <v>0</v>
      </c>
      <c r="O409" s="45">
        <f t="shared" si="41"/>
        <v>20000</v>
      </c>
      <c r="P409" s="347">
        <f aca="true" t="shared" si="42" ref="P409:P419">H409*I409</f>
        <v>10000000</v>
      </c>
      <c r="Q409" s="252"/>
      <c r="R409" s="252"/>
      <c r="S409" s="208"/>
      <c r="T409" s="28"/>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row>
    <row r="410" spans="1:53" s="7" customFormat="1" ht="15.75">
      <c r="A410" s="643"/>
      <c r="B410" s="641"/>
      <c r="C410" s="534"/>
      <c r="D410" s="635"/>
      <c r="E410" s="546"/>
      <c r="F410" s="631"/>
      <c r="G410" s="114" t="s">
        <v>345</v>
      </c>
      <c r="H410" s="163">
        <v>120000000</v>
      </c>
      <c r="I410" s="284">
        <v>5</v>
      </c>
      <c r="J410" s="184">
        <v>120000000</v>
      </c>
      <c r="K410" s="184">
        <v>120000000</v>
      </c>
      <c r="L410" s="184">
        <v>120000000</v>
      </c>
      <c r="M410" s="184">
        <v>120000000</v>
      </c>
      <c r="N410" s="184">
        <v>120000000</v>
      </c>
      <c r="O410" s="45">
        <f t="shared" si="41"/>
        <v>240000</v>
      </c>
      <c r="P410" s="347">
        <f t="shared" si="42"/>
        <v>600000000</v>
      </c>
      <c r="Q410" s="252"/>
      <c r="R410" s="252"/>
      <c r="S410" s="208"/>
      <c r="T410" s="28"/>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row>
    <row r="411" spans="1:53" s="7" customFormat="1" ht="63">
      <c r="A411" s="643"/>
      <c r="B411" s="641"/>
      <c r="C411" s="534"/>
      <c r="D411" s="635"/>
      <c r="E411" s="546"/>
      <c r="F411" s="631"/>
      <c r="G411" s="114" t="s">
        <v>346</v>
      </c>
      <c r="H411" s="163">
        <v>30000000</v>
      </c>
      <c r="I411" s="284">
        <v>10</v>
      </c>
      <c r="J411" s="184">
        <v>60000000</v>
      </c>
      <c r="K411" s="184">
        <v>60000000</v>
      </c>
      <c r="L411" s="184">
        <v>60000000</v>
      </c>
      <c r="M411" s="184">
        <v>60000000</v>
      </c>
      <c r="N411" s="184">
        <v>60000000</v>
      </c>
      <c r="O411" s="45">
        <f t="shared" si="41"/>
        <v>60000</v>
      </c>
      <c r="P411" s="347">
        <f t="shared" si="42"/>
        <v>300000000</v>
      </c>
      <c r="Q411" s="252"/>
      <c r="R411" s="252"/>
      <c r="S411" s="208"/>
      <c r="T411" s="28"/>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row>
    <row r="412" spans="1:53" s="7" customFormat="1" ht="49.5" customHeight="1">
      <c r="A412" s="643"/>
      <c r="B412" s="641"/>
      <c r="C412" s="534" t="s">
        <v>1150</v>
      </c>
      <c r="D412" s="252" t="s">
        <v>347</v>
      </c>
      <c r="E412" s="249">
        <v>0</v>
      </c>
      <c r="F412" s="249">
        <v>31</v>
      </c>
      <c r="G412" s="536" t="s">
        <v>348</v>
      </c>
      <c r="H412" s="616">
        <v>3000000</v>
      </c>
      <c r="I412" s="630">
        <v>110</v>
      </c>
      <c r="J412" s="184">
        <f>22*3000000</f>
        <v>66000000</v>
      </c>
      <c r="K412" s="184">
        <f>22*3000000</f>
        <v>66000000</v>
      </c>
      <c r="L412" s="184">
        <f>22*3000000</f>
        <v>66000000</v>
      </c>
      <c r="M412" s="184">
        <f>22*3000000</f>
        <v>66000000</v>
      </c>
      <c r="N412" s="184">
        <f>22*3000000</f>
        <v>66000000</v>
      </c>
      <c r="O412" s="45">
        <f t="shared" si="41"/>
        <v>6000</v>
      </c>
      <c r="P412" s="629">
        <f t="shared" si="42"/>
        <v>330000000</v>
      </c>
      <c r="Q412" s="536"/>
      <c r="R412" s="536"/>
      <c r="S412" s="639"/>
      <c r="T412" s="28"/>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row>
    <row r="413" spans="1:53" s="7" customFormat="1" ht="44.25" customHeight="1">
      <c r="A413" s="643"/>
      <c r="B413" s="641"/>
      <c r="C413" s="536"/>
      <c r="D413" s="252" t="s">
        <v>349</v>
      </c>
      <c r="E413" s="249">
        <v>0</v>
      </c>
      <c r="F413" s="249">
        <v>110</v>
      </c>
      <c r="G413" s="536"/>
      <c r="H413" s="616"/>
      <c r="I413" s="630"/>
      <c r="J413" s="184"/>
      <c r="K413" s="184"/>
      <c r="L413" s="184"/>
      <c r="M413" s="184"/>
      <c r="N413" s="184"/>
      <c r="O413" s="45"/>
      <c r="P413" s="629">
        <f t="shared" si="42"/>
        <v>0</v>
      </c>
      <c r="Q413" s="536"/>
      <c r="R413" s="536"/>
      <c r="S413" s="639"/>
      <c r="T413" s="28"/>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row>
    <row r="414" spans="1:53" s="7" customFormat="1" ht="47.25">
      <c r="A414" s="643"/>
      <c r="B414" s="641"/>
      <c r="C414" s="119" t="s">
        <v>1151</v>
      </c>
      <c r="D414" s="252" t="s">
        <v>350</v>
      </c>
      <c r="E414" s="249">
        <v>0</v>
      </c>
      <c r="F414" s="249">
        <v>5</v>
      </c>
      <c r="G414" s="114" t="s">
        <v>351</v>
      </c>
      <c r="H414" s="163">
        <v>10000000</v>
      </c>
      <c r="I414" s="284">
        <v>5</v>
      </c>
      <c r="J414" s="184">
        <v>10000000</v>
      </c>
      <c r="K414" s="184">
        <v>10000000</v>
      </c>
      <c r="L414" s="184">
        <v>10000000</v>
      </c>
      <c r="M414" s="184">
        <v>10000000</v>
      </c>
      <c r="N414" s="184">
        <v>10000000</v>
      </c>
      <c r="O414" s="45">
        <f>H414/500</f>
        <v>20000</v>
      </c>
      <c r="P414" s="347">
        <f t="shared" si="42"/>
        <v>50000000</v>
      </c>
      <c r="Q414" s="252"/>
      <c r="R414" s="252"/>
      <c r="S414" s="208"/>
      <c r="T414" s="28"/>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row>
    <row r="415" spans="1:53" s="7" customFormat="1" ht="47.25">
      <c r="A415" s="643"/>
      <c r="B415" s="641"/>
      <c r="C415" s="114" t="s">
        <v>1152</v>
      </c>
      <c r="D415" s="252" t="s">
        <v>352</v>
      </c>
      <c r="E415" s="249">
        <v>0</v>
      </c>
      <c r="F415" s="249">
        <v>10</v>
      </c>
      <c r="G415" s="114" t="s">
        <v>353</v>
      </c>
      <c r="H415" s="163">
        <v>8500000</v>
      </c>
      <c r="I415" s="284">
        <v>5</v>
      </c>
      <c r="J415" s="184">
        <v>8500000</v>
      </c>
      <c r="K415" s="184">
        <v>8500000</v>
      </c>
      <c r="L415" s="184">
        <v>8500000</v>
      </c>
      <c r="M415" s="184">
        <v>8500000</v>
      </c>
      <c r="N415" s="184">
        <v>8500000</v>
      </c>
      <c r="O415" s="45">
        <f>H415/500</f>
        <v>17000</v>
      </c>
      <c r="P415" s="347">
        <f t="shared" si="42"/>
        <v>42500000</v>
      </c>
      <c r="Q415" s="252"/>
      <c r="R415" s="252"/>
      <c r="S415" s="208" t="s">
        <v>354</v>
      </c>
      <c r="T415" s="28"/>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row>
    <row r="416" spans="1:53" s="7" customFormat="1" ht="63">
      <c r="A416" s="643"/>
      <c r="B416" s="641"/>
      <c r="C416" s="114" t="s">
        <v>1153</v>
      </c>
      <c r="D416" s="252" t="s">
        <v>355</v>
      </c>
      <c r="E416" s="249">
        <v>0</v>
      </c>
      <c r="F416" s="249">
        <v>2</v>
      </c>
      <c r="G416" s="114" t="s">
        <v>356</v>
      </c>
      <c r="H416" s="163">
        <f>250000*60</f>
        <v>15000000</v>
      </c>
      <c r="I416" s="284">
        <v>2</v>
      </c>
      <c r="J416" s="184">
        <v>15000000</v>
      </c>
      <c r="K416" s="184"/>
      <c r="L416" s="184">
        <v>15000000</v>
      </c>
      <c r="M416" s="184"/>
      <c r="N416" s="184"/>
      <c r="O416" s="45">
        <f>H416/500</f>
        <v>30000</v>
      </c>
      <c r="P416" s="347">
        <f t="shared" si="42"/>
        <v>30000000</v>
      </c>
      <c r="Q416" s="252" t="s">
        <v>304</v>
      </c>
      <c r="R416" s="252"/>
      <c r="S416" s="208"/>
      <c r="T416" s="28"/>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row>
    <row r="417" spans="1:53" s="7" customFormat="1" ht="63" customHeight="1">
      <c r="A417" s="643"/>
      <c r="B417" s="641"/>
      <c r="C417" s="536" t="s">
        <v>1154</v>
      </c>
      <c r="D417" s="252" t="s">
        <v>357</v>
      </c>
      <c r="E417" s="280">
        <v>0</v>
      </c>
      <c r="F417" s="280">
        <v>2</v>
      </c>
      <c r="G417" s="536" t="s">
        <v>358</v>
      </c>
      <c r="H417" s="629">
        <v>10000000</v>
      </c>
      <c r="I417" s="630">
        <v>2</v>
      </c>
      <c r="J417" s="184">
        <v>10000000</v>
      </c>
      <c r="K417" s="184"/>
      <c r="L417" s="184">
        <v>10000000</v>
      </c>
      <c r="M417" s="184"/>
      <c r="N417" s="184"/>
      <c r="O417" s="45">
        <f>H417/500</f>
        <v>20000</v>
      </c>
      <c r="P417" s="629">
        <f t="shared" si="42"/>
        <v>20000000</v>
      </c>
      <c r="Q417" s="536"/>
      <c r="R417" s="536"/>
      <c r="S417" s="639"/>
      <c r="T417" s="28"/>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row>
    <row r="418" spans="1:53" s="7" customFormat="1" ht="47.25">
      <c r="A418" s="643"/>
      <c r="B418" s="641"/>
      <c r="C418" s="536"/>
      <c r="D418" s="258" t="s">
        <v>359</v>
      </c>
      <c r="E418" s="280">
        <v>0</v>
      </c>
      <c r="F418" s="278">
        <v>1</v>
      </c>
      <c r="G418" s="536"/>
      <c r="H418" s="629"/>
      <c r="I418" s="630"/>
      <c r="J418" s="184"/>
      <c r="K418" s="184"/>
      <c r="L418" s="184"/>
      <c r="M418" s="184"/>
      <c r="N418" s="184"/>
      <c r="O418" s="85"/>
      <c r="P418" s="629">
        <f t="shared" si="42"/>
        <v>0</v>
      </c>
      <c r="Q418" s="536"/>
      <c r="R418" s="536"/>
      <c r="S418" s="639"/>
      <c r="T418" s="28"/>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row>
    <row r="419" spans="1:53" s="7" customFormat="1" ht="91.5" customHeight="1">
      <c r="A419" s="643"/>
      <c r="B419" s="458" t="s">
        <v>1155</v>
      </c>
      <c r="C419" s="119" t="s">
        <v>1156</v>
      </c>
      <c r="D419" s="252" t="s">
        <v>360</v>
      </c>
      <c r="E419" s="249">
        <v>0</v>
      </c>
      <c r="F419" s="249">
        <v>125</v>
      </c>
      <c r="G419" s="166" t="s">
        <v>361</v>
      </c>
      <c r="H419" s="163">
        <f>3000000+200000*23</f>
        <v>7600000</v>
      </c>
      <c r="I419" s="284">
        <f>2*5</f>
        <v>10</v>
      </c>
      <c r="J419" s="184">
        <v>15200000</v>
      </c>
      <c r="K419" s="184">
        <v>15200000</v>
      </c>
      <c r="L419" s="184">
        <v>15200000</v>
      </c>
      <c r="M419" s="184">
        <v>15200000</v>
      </c>
      <c r="N419" s="184">
        <v>15200000</v>
      </c>
      <c r="O419" s="45">
        <f>H419/500</f>
        <v>15200</v>
      </c>
      <c r="P419" s="347">
        <f t="shared" si="42"/>
        <v>76000000</v>
      </c>
      <c r="Q419" s="252"/>
      <c r="R419" s="252"/>
      <c r="S419" s="208"/>
      <c r="T419" s="28"/>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row>
    <row r="420" spans="1:53" s="7" customFormat="1" ht="46.5" customHeight="1">
      <c r="A420" s="643"/>
      <c r="B420" s="459"/>
      <c r="C420" s="647" t="s">
        <v>1157</v>
      </c>
      <c r="D420" s="252" t="s">
        <v>362</v>
      </c>
      <c r="E420" s="249">
        <v>0</v>
      </c>
      <c r="F420" s="249">
        <v>1</v>
      </c>
      <c r="G420" s="464" t="s">
        <v>363</v>
      </c>
      <c r="H420" s="549" t="s">
        <v>28</v>
      </c>
      <c r="I420" s="630" t="s">
        <v>28</v>
      </c>
      <c r="J420" s="184"/>
      <c r="K420" s="184"/>
      <c r="L420" s="184"/>
      <c r="M420" s="184"/>
      <c r="N420" s="184"/>
      <c r="O420" s="47"/>
      <c r="P420" s="551" t="s">
        <v>28</v>
      </c>
      <c r="Q420" s="464"/>
      <c r="R420" s="464"/>
      <c r="S420" s="550"/>
      <c r="T420" s="28"/>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row>
    <row r="421" spans="1:53" s="7" customFormat="1" ht="20.25" customHeight="1">
      <c r="A421" s="643"/>
      <c r="B421" s="459"/>
      <c r="C421" s="648"/>
      <c r="D421" s="364" t="s">
        <v>364</v>
      </c>
      <c r="E421" s="249">
        <v>0</v>
      </c>
      <c r="F421" s="249">
        <v>60</v>
      </c>
      <c r="G421" s="464"/>
      <c r="H421" s="549"/>
      <c r="I421" s="630"/>
      <c r="J421" s="184"/>
      <c r="K421" s="184"/>
      <c r="L421" s="184"/>
      <c r="M421" s="184"/>
      <c r="N421" s="184"/>
      <c r="O421" s="47"/>
      <c r="P421" s="551">
        <f aca="true" t="shared" si="43" ref="P421:P430">H421*I421</f>
        <v>0</v>
      </c>
      <c r="Q421" s="464"/>
      <c r="R421" s="464"/>
      <c r="S421" s="550"/>
      <c r="T421" s="28"/>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row>
    <row r="422" spans="1:53" s="7" customFormat="1" ht="36" customHeight="1">
      <c r="A422" s="643"/>
      <c r="B422" s="459"/>
      <c r="C422" s="649"/>
      <c r="D422" s="364" t="s">
        <v>365</v>
      </c>
      <c r="E422" s="249">
        <v>0</v>
      </c>
      <c r="F422" s="249" t="s">
        <v>151</v>
      </c>
      <c r="G422" s="464"/>
      <c r="H422" s="549"/>
      <c r="I422" s="630"/>
      <c r="J422" s="184"/>
      <c r="K422" s="184"/>
      <c r="L422" s="184"/>
      <c r="M422" s="184"/>
      <c r="N422" s="184"/>
      <c r="O422" s="47"/>
      <c r="P422" s="551">
        <f t="shared" si="43"/>
        <v>0</v>
      </c>
      <c r="Q422" s="464"/>
      <c r="R422" s="464"/>
      <c r="S422" s="550"/>
      <c r="T422" s="28"/>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row>
    <row r="423" spans="1:53" s="7" customFormat="1" ht="72.75" customHeight="1">
      <c r="A423" s="643"/>
      <c r="B423" s="459"/>
      <c r="C423" s="650" t="s">
        <v>1158</v>
      </c>
      <c r="D423" s="651" t="s">
        <v>24</v>
      </c>
      <c r="E423" s="652">
        <v>0</v>
      </c>
      <c r="F423" s="652">
        <v>1</v>
      </c>
      <c r="G423" s="116" t="s">
        <v>25</v>
      </c>
      <c r="H423" s="251">
        <v>200000</v>
      </c>
      <c r="I423" s="247">
        <v>1</v>
      </c>
      <c r="J423" s="184">
        <v>200000</v>
      </c>
      <c r="K423" s="184">
        <v>0</v>
      </c>
      <c r="L423" s="184">
        <v>0</v>
      </c>
      <c r="M423" s="184">
        <v>0</v>
      </c>
      <c r="N423" s="184">
        <v>0</v>
      </c>
      <c r="O423" s="85">
        <f>H423/500</f>
        <v>400</v>
      </c>
      <c r="P423" s="250">
        <f t="shared" si="43"/>
        <v>200000</v>
      </c>
      <c r="Q423" s="116"/>
      <c r="R423" s="116"/>
      <c r="S423" s="317"/>
      <c r="T423" s="28"/>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row>
    <row r="424" spans="1:53" s="7" customFormat="1" ht="66" customHeight="1">
      <c r="A424" s="644"/>
      <c r="B424" s="460"/>
      <c r="C424" s="651"/>
      <c r="D424" s="651"/>
      <c r="E424" s="652"/>
      <c r="F424" s="652"/>
      <c r="G424" s="116" t="s">
        <v>26</v>
      </c>
      <c r="H424" s="251">
        <v>50000000</v>
      </c>
      <c r="I424" s="247">
        <v>5</v>
      </c>
      <c r="J424" s="184">
        <v>50000000</v>
      </c>
      <c r="K424" s="184">
        <v>50000000</v>
      </c>
      <c r="L424" s="184">
        <v>50000000</v>
      </c>
      <c r="M424" s="184">
        <v>50000000</v>
      </c>
      <c r="N424" s="184">
        <v>50000000</v>
      </c>
      <c r="O424" s="85">
        <f>P424/500</f>
        <v>500000</v>
      </c>
      <c r="P424" s="250">
        <f t="shared" si="43"/>
        <v>250000000</v>
      </c>
      <c r="Q424" s="116"/>
      <c r="R424" s="408"/>
      <c r="S424" s="317"/>
      <c r="T424" s="28"/>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row>
    <row r="425" spans="1:53" s="71" customFormat="1" ht="24" customHeight="1">
      <c r="A425" s="424" t="s">
        <v>573</v>
      </c>
      <c r="B425" s="425"/>
      <c r="C425" s="425"/>
      <c r="D425" s="425"/>
      <c r="E425" s="425"/>
      <c r="F425" s="425"/>
      <c r="G425" s="426"/>
      <c r="H425" s="320"/>
      <c r="I425" s="320"/>
      <c r="J425" s="185">
        <f>SUM(J408:J424)</f>
        <v>365900000</v>
      </c>
      <c r="K425" s="185">
        <f>SUM(K408:K424)</f>
        <v>329700000</v>
      </c>
      <c r="L425" s="185">
        <f>SUM(L408:L424)</f>
        <v>354700000</v>
      </c>
      <c r="M425" s="185">
        <f>SUM(M408:M424)</f>
        <v>329700000</v>
      </c>
      <c r="N425" s="185">
        <f>SUM(N408:N424)</f>
        <v>329700000</v>
      </c>
      <c r="O425" s="76"/>
      <c r="P425" s="174">
        <f>SUM(P408:P424)</f>
        <v>1709700000</v>
      </c>
      <c r="Q425" s="345"/>
      <c r="R425" s="345"/>
      <c r="S425" s="346"/>
      <c r="T425" s="223"/>
      <c r="U425" s="224"/>
      <c r="V425" s="224"/>
      <c r="W425" s="224"/>
      <c r="X425" s="224"/>
      <c r="Y425" s="224"/>
      <c r="Z425" s="224"/>
      <c r="AA425" s="224"/>
      <c r="AB425" s="224"/>
      <c r="AC425" s="224"/>
      <c r="AD425" s="224"/>
      <c r="AE425" s="224"/>
      <c r="AF425" s="224"/>
      <c r="AG425" s="224"/>
      <c r="AH425" s="224"/>
      <c r="AI425" s="224"/>
      <c r="AJ425" s="224"/>
      <c r="AK425" s="224"/>
      <c r="AL425" s="224"/>
      <c r="AM425" s="224"/>
      <c r="AN425" s="224"/>
      <c r="AO425" s="224"/>
      <c r="AP425" s="224"/>
      <c r="AQ425" s="224"/>
      <c r="AR425" s="224"/>
      <c r="AS425" s="224"/>
      <c r="AT425" s="224"/>
      <c r="AU425" s="224"/>
      <c r="AV425" s="224"/>
      <c r="AW425" s="224"/>
      <c r="AX425" s="224"/>
      <c r="AY425" s="224"/>
      <c r="AZ425" s="224"/>
      <c r="BA425" s="224"/>
    </row>
    <row r="426" spans="1:53" s="7" customFormat="1" ht="69.75" customHeight="1">
      <c r="A426" s="645" t="s">
        <v>1159</v>
      </c>
      <c r="B426" s="542" t="s">
        <v>1160</v>
      </c>
      <c r="C426" s="536" t="s">
        <v>1161</v>
      </c>
      <c r="D426" s="635" t="s">
        <v>366</v>
      </c>
      <c r="E426" s="631" t="s">
        <v>16</v>
      </c>
      <c r="F426" s="631">
        <v>1</v>
      </c>
      <c r="G426" s="252" t="s">
        <v>367</v>
      </c>
      <c r="H426" s="163">
        <f>200000*45+7000000</f>
        <v>16000000</v>
      </c>
      <c r="I426" s="284">
        <v>1</v>
      </c>
      <c r="J426" s="184">
        <v>16000000</v>
      </c>
      <c r="K426" s="184">
        <v>0</v>
      </c>
      <c r="L426" s="184">
        <v>0</v>
      </c>
      <c r="M426" s="184">
        <v>0</v>
      </c>
      <c r="N426" s="184">
        <v>0</v>
      </c>
      <c r="O426" s="45">
        <f>H426/500</f>
        <v>32000</v>
      </c>
      <c r="P426" s="347">
        <f t="shared" si="43"/>
        <v>16000000</v>
      </c>
      <c r="Q426" s="252" t="s">
        <v>14</v>
      </c>
      <c r="R426" s="252" t="s">
        <v>113</v>
      </c>
      <c r="S426" s="208"/>
      <c r="T426" s="28"/>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row>
    <row r="427" spans="1:53" s="7" customFormat="1" ht="69.75" customHeight="1">
      <c r="A427" s="645"/>
      <c r="B427" s="542"/>
      <c r="C427" s="536"/>
      <c r="D427" s="635"/>
      <c r="E427" s="631"/>
      <c r="F427" s="631"/>
      <c r="G427" s="252" t="s">
        <v>585</v>
      </c>
      <c r="H427" s="163" t="s">
        <v>28</v>
      </c>
      <c r="I427" s="284" t="s">
        <v>28</v>
      </c>
      <c r="J427" s="184"/>
      <c r="K427" s="184"/>
      <c r="L427" s="184"/>
      <c r="M427" s="184"/>
      <c r="N427" s="184"/>
      <c r="O427" s="45"/>
      <c r="P427" s="347"/>
      <c r="Q427" s="252"/>
      <c r="R427" s="252"/>
      <c r="S427" s="208"/>
      <c r="T427" s="28"/>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row>
    <row r="428" spans="1:53" s="7" customFormat="1" ht="74.25" customHeight="1">
      <c r="A428" s="645"/>
      <c r="B428" s="542"/>
      <c r="C428" s="536"/>
      <c r="D428" s="635"/>
      <c r="E428" s="631"/>
      <c r="F428" s="631"/>
      <c r="G428" s="252" t="s">
        <v>368</v>
      </c>
      <c r="H428" s="163" t="s">
        <v>28</v>
      </c>
      <c r="I428" s="284">
        <v>1</v>
      </c>
      <c r="J428" s="184"/>
      <c r="K428" s="184"/>
      <c r="L428" s="184"/>
      <c r="M428" s="184"/>
      <c r="N428" s="184"/>
      <c r="O428" s="45">
        <v>0</v>
      </c>
      <c r="P428" s="347">
        <v>0</v>
      </c>
      <c r="Q428" s="252"/>
      <c r="R428" s="252"/>
      <c r="S428" s="208"/>
      <c r="T428" s="28"/>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row>
    <row r="429" spans="1:53" s="7" customFormat="1" ht="63">
      <c r="A429" s="645"/>
      <c r="B429" s="542"/>
      <c r="C429" s="119" t="s">
        <v>1162</v>
      </c>
      <c r="D429" s="252" t="s">
        <v>369</v>
      </c>
      <c r="E429" s="249" t="s">
        <v>16</v>
      </c>
      <c r="F429" s="246">
        <v>1</v>
      </c>
      <c r="G429" s="166" t="s">
        <v>577</v>
      </c>
      <c r="H429" s="163">
        <v>7000000</v>
      </c>
      <c r="I429" s="284">
        <v>2</v>
      </c>
      <c r="J429" s="184">
        <v>7000000</v>
      </c>
      <c r="K429" s="184"/>
      <c r="L429" s="184"/>
      <c r="M429" s="184">
        <v>7000000</v>
      </c>
      <c r="N429" s="184"/>
      <c r="O429" s="45">
        <f>H429/500</f>
        <v>14000</v>
      </c>
      <c r="P429" s="347">
        <f t="shared" si="43"/>
        <v>14000000</v>
      </c>
      <c r="Q429" s="252" t="s">
        <v>370</v>
      </c>
      <c r="R429" s="252" t="s">
        <v>371</v>
      </c>
      <c r="S429" s="208"/>
      <c r="T429" s="28"/>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row>
    <row r="430" spans="1:53" s="7" customFormat="1" ht="63.75" customHeight="1">
      <c r="A430" s="645"/>
      <c r="B430" s="542"/>
      <c r="C430" s="409" t="s">
        <v>1163</v>
      </c>
      <c r="D430" s="252" t="s">
        <v>372</v>
      </c>
      <c r="E430" s="365" t="s">
        <v>16</v>
      </c>
      <c r="F430" s="246">
        <v>1</v>
      </c>
      <c r="G430" s="464" t="s">
        <v>1164</v>
      </c>
      <c r="H430" s="616">
        <v>7000000</v>
      </c>
      <c r="I430" s="646">
        <v>5</v>
      </c>
      <c r="J430" s="184">
        <v>7000000</v>
      </c>
      <c r="K430" s="184">
        <v>7000000</v>
      </c>
      <c r="L430" s="184">
        <v>7000000</v>
      </c>
      <c r="M430" s="184">
        <v>7000000</v>
      </c>
      <c r="N430" s="184">
        <v>7000000</v>
      </c>
      <c r="O430" s="586">
        <f>H430/500</f>
        <v>14000</v>
      </c>
      <c r="P430" s="574">
        <f t="shared" si="43"/>
        <v>35000000</v>
      </c>
      <c r="Q430" s="464"/>
      <c r="R430" s="464"/>
      <c r="S430" s="550"/>
      <c r="T430" s="28"/>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row>
    <row r="431" spans="1:53" s="7" customFormat="1" ht="78.75">
      <c r="A431" s="645"/>
      <c r="B431" s="542"/>
      <c r="C431" s="114" t="s">
        <v>1165</v>
      </c>
      <c r="D431" s="252" t="s">
        <v>373</v>
      </c>
      <c r="E431" s="365" t="s">
        <v>16</v>
      </c>
      <c r="F431" s="246">
        <v>1</v>
      </c>
      <c r="G431" s="464"/>
      <c r="H431" s="616"/>
      <c r="I431" s="646"/>
      <c r="J431" s="184"/>
      <c r="K431" s="184"/>
      <c r="L431" s="184"/>
      <c r="M431" s="184"/>
      <c r="N431" s="184"/>
      <c r="O431" s="587"/>
      <c r="P431" s="576"/>
      <c r="Q431" s="464"/>
      <c r="R431" s="464"/>
      <c r="S431" s="550"/>
      <c r="T431" s="28"/>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row>
    <row r="432" spans="1:53" s="7" customFormat="1" ht="110.25">
      <c r="A432" s="645"/>
      <c r="B432" s="542"/>
      <c r="C432" s="119" t="s">
        <v>1166</v>
      </c>
      <c r="D432" s="252" t="s">
        <v>374</v>
      </c>
      <c r="E432" s="365">
        <v>0</v>
      </c>
      <c r="F432" s="410">
        <v>1</v>
      </c>
      <c r="G432" s="166" t="s">
        <v>375</v>
      </c>
      <c r="H432" s="163" t="s">
        <v>28</v>
      </c>
      <c r="I432" s="284" t="s">
        <v>28</v>
      </c>
      <c r="J432" s="184"/>
      <c r="K432" s="184"/>
      <c r="L432" s="184"/>
      <c r="M432" s="184"/>
      <c r="N432" s="184"/>
      <c r="O432" s="45"/>
      <c r="P432" s="347" t="s">
        <v>28</v>
      </c>
      <c r="Q432" s="252"/>
      <c r="R432" s="252"/>
      <c r="S432" s="208"/>
      <c r="T432" s="28"/>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row>
    <row r="433" spans="1:53" s="7" customFormat="1" ht="63">
      <c r="A433" s="645"/>
      <c r="B433" s="542"/>
      <c r="C433" s="114" t="s">
        <v>1167</v>
      </c>
      <c r="D433" s="252" t="s">
        <v>376</v>
      </c>
      <c r="E433" s="249">
        <v>0</v>
      </c>
      <c r="F433" s="249">
        <v>1</v>
      </c>
      <c r="G433" s="114" t="s">
        <v>377</v>
      </c>
      <c r="H433" s="163">
        <f>200000*45+7000000</f>
        <v>16000000</v>
      </c>
      <c r="I433" s="284">
        <v>1</v>
      </c>
      <c r="J433" s="184">
        <v>16000000</v>
      </c>
      <c r="K433" s="184">
        <v>0</v>
      </c>
      <c r="L433" s="184">
        <v>0</v>
      </c>
      <c r="M433" s="184">
        <v>0</v>
      </c>
      <c r="N433" s="184">
        <v>0</v>
      </c>
      <c r="O433" s="45">
        <f>H433/500</f>
        <v>32000</v>
      </c>
      <c r="P433" s="347">
        <f>H433*I433</f>
        <v>16000000</v>
      </c>
      <c r="Q433" s="252" t="s">
        <v>378</v>
      </c>
      <c r="R433" s="252" t="s">
        <v>370</v>
      </c>
      <c r="S433" s="208"/>
      <c r="T433" s="28"/>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row>
    <row r="434" spans="1:53" s="7" customFormat="1" ht="47.25">
      <c r="A434" s="645"/>
      <c r="B434" s="542" t="s">
        <v>1168</v>
      </c>
      <c r="C434" s="536" t="s">
        <v>1169</v>
      </c>
      <c r="D434" s="166" t="s">
        <v>379</v>
      </c>
      <c r="E434" s="280">
        <v>0</v>
      </c>
      <c r="F434" s="249">
        <v>1</v>
      </c>
      <c r="G434" s="114" t="s">
        <v>380</v>
      </c>
      <c r="H434" s="163">
        <f>200000*15+3000000</f>
        <v>6000000</v>
      </c>
      <c r="I434" s="284">
        <v>1</v>
      </c>
      <c r="J434" s="184">
        <v>6000000</v>
      </c>
      <c r="K434" s="184">
        <v>0</v>
      </c>
      <c r="L434" s="184">
        <v>0</v>
      </c>
      <c r="M434" s="184">
        <v>0</v>
      </c>
      <c r="N434" s="184">
        <v>0</v>
      </c>
      <c r="O434" s="45">
        <f>H434/500</f>
        <v>12000</v>
      </c>
      <c r="P434" s="347">
        <f>H434*I434</f>
        <v>6000000</v>
      </c>
      <c r="Q434" s="252" t="s">
        <v>370</v>
      </c>
      <c r="R434" s="252" t="s">
        <v>381</v>
      </c>
      <c r="S434" s="208"/>
      <c r="T434" s="28"/>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row>
    <row r="435" spans="1:53" s="7" customFormat="1" ht="63">
      <c r="A435" s="645"/>
      <c r="B435" s="542"/>
      <c r="C435" s="536"/>
      <c r="D435" s="464" t="s">
        <v>382</v>
      </c>
      <c r="E435" s="546" t="s">
        <v>16</v>
      </c>
      <c r="F435" s="631" t="s">
        <v>151</v>
      </c>
      <c r="G435" s="114" t="s">
        <v>383</v>
      </c>
      <c r="H435" s="163">
        <f>200000*20+7000000</f>
        <v>11000000</v>
      </c>
      <c r="I435" s="284">
        <v>1</v>
      </c>
      <c r="J435" s="184">
        <v>11000000</v>
      </c>
      <c r="K435" s="184">
        <v>0</v>
      </c>
      <c r="L435" s="184">
        <v>0</v>
      </c>
      <c r="M435" s="184">
        <v>0</v>
      </c>
      <c r="N435" s="184">
        <v>0</v>
      </c>
      <c r="O435" s="45">
        <f>H435/500</f>
        <v>22000</v>
      </c>
      <c r="P435" s="347">
        <f>H435*I435</f>
        <v>11000000</v>
      </c>
      <c r="Q435" s="252" t="s">
        <v>370</v>
      </c>
      <c r="R435" s="252" t="s">
        <v>381</v>
      </c>
      <c r="S435" s="208"/>
      <c r="T435" s="28"/>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row>
    <row r="436" spans="1:53" s="7" customFormat="1" ht="63">
      <c r="A436" s="645"/>
      <c r="B436" s="542"/>
      <c r="C436" s="536"/>
      <c r="D436" s="464"/>
      <c r="E436" s="546"/>
      <c r="F436" s="631"/>
      <c r="G436" s="114" t="s">
        <v>384</v>
      </c>
      <c r="H436" s="163">
        <v>5000</v>
      </c>
      <c r="I436" s="284">
        <v>10000</v>
      </c>
      <c r="J436" s="184">
        <v>10000000</v>
      </c>
      <c r="K436" s="184">
        <v>10000000</v>
      </c>
      <c r="L436" s="184">
        <v>10000000</v>
      </c>
      <c r="M436" s="184">
        <v>10000000</v>
      </c>
      <c r="N436" s="184">
        <v>10000000</v>
      </c>
      <c r="O436" s="45">
        <f>H436/500</f>
        <v>10</v>
      </c>
      <c r="P436" s="347">
        <f>H436*I436</f>
        <v>50000000</v>
      </c>
      <c r="Q436" s="252" t="s">
        <v>370</v>
      </c>
      <c r="R436" s="252" t="s">
        <v>381</v>
      </c>
      <c r="S436" s="208"/>
      <c r="T436" s="28"/>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row>
    <row r="437" spans="1:53" s="71" customFormat="1" ht="21.75" customHeight="1">
      <c r="A437" s="496" t="s">
        <v>870</v>
      </c>
      <c r="B437" s="497"/>
      <c r="C437" s="497"/>
      <c r="D437" s="497"/>
      <c r="E437" s="497"/>
      <c r="F437" s="497"/>
      <c r="G437" s="497"/>
      <c r="H437" s="498"/>
      <c r="I437" s="344"/>
      <c r="J437" s="185">
        <f>SUM(J426:J436)</f>
        <v>73000000</v>
      </c>
      <c r="K437" s="185">
        <f>SUM(K426:K436)</f>
        <v>17000000</v>
      </c>
      <c r="L437" s="185">
        <f>SUM(L426:L436)</f>
        <v>17000000</v>
      </c>
      <c r="M437" s="185">
        <f>SUM(M426:M436)</f>
        <v>24000000</v>
      </c>
      <c r="N437" s="185">
        <f>SUM(N426:N436)</f>
        <v>17000000</v>
      </c>
      <c r="O437" s="70"/>
      <c r="P437" s="320">
        <f>SUM(P426:P436)</f>
        <v>148000000</v>
      </c>
      <c r="Q437" s="321"/>
      <c r="R437" s="345"/>
      <c r="S437" s="209"/>
      <c r="T437" s="223"/>
      <c r="U437" s="224"/>
      <c r="V437" s="224"/>
      <c r="W437" s="224"/>
      <c r="X437" s="224"/>
      <c r="Y437" s="224"/>
      <c r="Z437" s="224"/>
      <c r="AA437" s="224"/>
      <c r="AB437" s="224"/>
      <c r="AC437" s="224"/>
      <c r="AD437" s="224"/>
      <c r="AE437" s="224"/>
      <c r="AF437" s="224"/>
      <c r="AG437" s="224"/>
      <c r="AH437" s="224"/>
      <c r="AI437" s="224"/>
      <c r="AJ437" s="224"/>
      <c r="AK437" s="224"/>
      <c r="AL437" s="224"/>
      <c r="AM437" s="224"/>
      <c r="AN437" s="224"/>
      <c r="AO437" s="224"/>
      <c r="AP437" s="224"/>
      <c r="AQ437" s="224"/>
      <c r="AR437" s="224"/>
      <c r="AS437" s="224"/>
      <c r="AT437" s="224"/>
      <c r="AU437" s="224"/>
      <c r="AV437" s="224"/>
      <c r="AW437" s="224"/>
      <c r="AX437" s="224"/>
      <c r="AY437" s="224"/>
      <c r="AZ437" s="224"/>
      <c r="BA437" s="224"/>
    </row>
    <row r="438" spans="1:53" ht="26.25" customHeight="1" thickBot="1">
      <c r="A438" s="411" t="s">
        <v>76</v>
      </c>
      <c r="B438" s="412"/>
      <c r="C438" s="413"/>
      <c r="D438" s="412"/>
      <c r="E438" s="414"/>
      <c r="F438" s="414"/>
      <c r="G438" s="413"/>
      <c r="H438" s="211"/>
      <c r="I438" s="211"/>
      <c r="J438" s="211">
        <f>SUM(J437+J425+J407+J398+J392+J371)</f>
        <v>2083750000</v>
      </c>
      <c r="K438" s="211">
        <f>SUM(K437+K425+K407+K398+K392+K371)</f>
        <v>1831550000</v>
      </c>
      <c r="L438" s="211">
        <f>SUM(L437+L425+L407+L392+L371)</f>
        <v>1446800000</v>
      </c>
      <c r="M438" s="211">
        <f>SUM(M437+M425+M407+M398+M392+M371)</f>
        <v>1198300000</v>
      </c>
      <c r="N438" s="211">
        <f>SUM(N437+N425+N407+N398+N392+N371)</f>
        <v>945300000</v>
      </c>
      <c r="O438" s="211"/>
      <c r="P438" s="211">
        <f>SUM(P437+P425+P407+P398+P392+P371)</f>
        <v>7505700000</v>
      </c>
      <c r="Q438" s="413"/>
      <c r="R438" s="413"/>
      <c r="S438" s="212"/>
      <c r="T438" s="3"/>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row>
    <row r="439" spans="1:53" ht="15.75">
      <c r="A439" s="415"/>
      <c r="B439" s="415"/>
      <c r="C439" s="416"/>
      <c r="D439" s="415"/>
      <c r="E439" s="417"/>
      <c r="F439" s="417"/>
      <c r="G439" s="194"/>
      <c r="H439" s="418"/>
      <c r="I439" s="194"/>
      <c r="J439" s="186"/>
      <c r="K439" s="186"/>
      <c r="M439" s="186"/>
      <c r="N439" s="186"/>
      <c r="O439" s="419"/>
      <c r="P439" s="420"/>
      <c r="Q439" s="194"/>
      <c r="R439" s="194"/>
      <c r="S439" s="421"/>
      <c r="T439" s="28"/>
      <c r="U439" s="3"/>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row>
    <row r="440" spans="1:53" ht="18.75">
      <c r="A440" s="194"/>
      <c r="B440" s="422"/>
      <c r="C440" s="422"/>
      <c r="D440" s="422"/>
      <c r="E440" s="422"/>
      <c r="F440" s="194"/>
      <c r="G440" s="194"/>
      <c r="H440" s="194"/>
      <c r="I440" s="194"/>
      <c r="J440" s="187">
        <f>J438+J346+J321+J287+J235+J173+J104</f>
        <v>64880220554.2</v>
      </c>
      <c r="K440" s="187">
        <f>K438+K346+K321+K287+K235+K173+K104</f>
        <v>76095012150.33813</v>
      </c>
      <c r="L440" s="187">
        <f>L438+L346+L321+L287+L235+L173+L104</f>
        <v>59103926616.338135</v>
      </c>
      <c r="M440" s="187">
        <f>M438+M346+M321+M287+M235+M173+M104</f>
        <v>39989947909.075424</v>
      </c>
      <c r="N440" s="187">
        <f>N438+N346+N321+N287+N235+N173+N104</f>
        <v>26167116360.925426</v>
      </c>
      <c r="O440" s="419"/>
      <c r="P440" s="423">
        <f>SUM(J440:O440)</f>
        <v>266236223590.87714</v>
      </c>
      <c r="Q440" s="194"/>
      <c r="R440" s="194"/>
      <c r="S440" s="194"/>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row>
    <row r="441" spans="1:53" ht="15.75">
      <c r="A441"/>
      <c r="B441" s="104"/>
      <c r="C441" s="50"/>
      <c r="D441" s="50"/>
      <c r="E441" s="50"/>
      <c r="F441" s="50"/>
      <c r="G441" s="50"/>
      <c r="H441"/>
      <c r="I441"/>
      <c r="J441" s="43"/>
      <c r="K441" s="43"/>
      <c r="L441" s="187"/>
      <c r="M441" s="43"/>
      <c r="N441" s="43"/>
      <c r="O441" s="52"/>
      <c r="P441" s="43"/>
      <c r="R441"/>
      <c r="S441"/>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row>
    <row r="442" spans="1:53" ht="15.75">
      <c r="A442" s="123"/>
      <c r="B442" s="124"/>
      <c r="C442" s="125"/>
      <c r="D442" s="126"/>
      <c r="E442" s="127"/>
      <c r="F442" s="127"/>
      <c r="G442" s="128"/>
      <c r="I442" s="26"/>
      <c r="J442" s="129"/>
      <c r="K442" s="129"/>
      <c r="L442" s="188"/>
      <c r="M442" s="129"/>
      <c r="N442" s="129"/>
      <c r="O442" s="130"/>
      <c r="P442" s="39"/>
      <c r="Q442" s="128"/>
      <c r="R442" s="128"/>
      <c r="S442" s="131"/>
      <c r="T442" s="3"/>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row>
    <row r="443" spans="1:53" ht="15.75">
      <c r="A443" s="26"/>
      <c r="B443" s="132"/>
      <c r="C443" s="133"/>
      <c r="D443" s="133"/>
      <c r="E443" s="133"/>
      <c r="F443" s="133"/>
      <c r="G443" s="133"/>
      <c r="H443" s="26"/>
      <c r="I443" s="26"/>
      <c r="J443" s="134"/>
      <c r="K443" s="134"/>
      <c r="L443" s="189"/>
      <c r="M443" s="134"/>
      <c r="N443" s="134"/>
      <c r="O443" s="134"/>
      <c r="P443" s="134"/>
      <c r="Q443" s="134"/>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row>
    <row r="444" spans="1:53" ht="15.75">
      <c r="A444" s="26"/>
      <c r="B444" s="129"/>
      <c r="C444" s="135"/>
      <c r="D444" s="135"/>
      <c r="E444" s="135"/>
      <c r="F444" s="135"/>
      <c r="G444" s="135"/>
      <c r="H444" s="26"/>
      <c r="I444" s="26"/>
      <c r="J444" s="134"/>
      <c r="K444" s="134"/>
      <c r="L444" s="189"/>
      <c r="M444" s="134"/>
      <c r="N444" s="134"/>
      <c r="O444" s="134"/>
      <c r="P444" s="134"/>
      <c r="Q444" s="134"/>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row>
    <row r="445" spans="1:53" s="96" customFormat="1" ht="15.75">
      <c r="A445" s="136"/>
      <c r="B445" s="137"/>
      <c r="C445" s="132"/>
      <c r="D445" s="132"/>
      <c r="E445" s="132"/>
      <c r="F445" s="132"/>
      <c r="G445" s="132"/>
      <c r="H445" s="133"/>
      <c r="I445" s="26"/>
      <c r="J445" s="134"/>
      <c r="K445" s="134"/>
      <c r="L445" s="189"/>
      <c r="M445" s="134"/>
      <c r="N445" s="134"/>
      <c r="O445" s="134"/>
      <c r="P445" s="134"/>
      <c r="Q445" s="134"/>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row>
    <row r="446" spans="1:53" s="98" customFormat="1" ht="24.75" customHeight="1">
      <c r="A446" s="138"/>
      <c r="B446" s="137"/>
      <c r="C446" s="139"/>
      <c r="D446" s="139"/>
      <c r="E446" s="139"/>
      <c r="F446" s="139"/>
      <c r="G446" s="139"/>
      <c r="H446" s="140"/>
      <c r="I446" s="136"/>
      <c r="J446" s="134"/>
      <c r="K446" s="141"/>
      <c r="L446" s="189"/>
      <c r="M446" s="134"/>
      <c r="N446" s="134"/>
      <c r="O446" s="134"/>
      <c r="P446" s="134"/>
      <c r="Q446" s="134"/>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row>
    <row r="447" spans="1:53" ht="24.75" customHeight="1">
      <c r="A447" s="9"/>
      <c r="B447" s="132"/>
      <c r="C447" s="132"/>
      <c r="D447" s="132"/>
      <c r="E447" s="132"/>
      <c r="F447" s="132"/>
      <c r="G447" s="132"/>
      <c r="H447" s="26"/>
      <c r="I447" s="26"/>
      <c r="J447" s="134"/>
      <c r="K447" s="141"/>
      <c r="L447" s="189"/>
      <c r="M447" s="134"/>
      <c r="N447" s="134"/>
      <c r="O447" s="134"/>
      <c r="P447" s="134"/>
      <c r="Q447" s="134"/>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row>
    <row r="448" spans="1:53" ht="24.75" customHeight="1">
      <c r="A448" s="9"/>
      <c r="B448" s="132"/>
      <c r="C448" s="132"/>
      <c r="D448" s="132"/>
      <c r="E448" s="132"/>
      <c r="F448" s="132"/>
      <c r="G448" s="132"/>
      <c r="H448" s="133"/>
      <c r="I448" s="26"/>
      <c r="J448" s="134"/>
      <c r="K448" s="141"/>
      <c r="L448" s="189"/>
      <c r="M448" s="134"/>
      <c r="N448" s="134"/>
      <c r="O448" s="134"/>
      <c r="P448" s="134"/>
      <c r="Q448" s="134"/>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row>
    <row r="449" spans="1:53" ht="24.75" customHeight="1">
      <c r="A449" s="9"/>
      <c r="B449" s="132"/>
      <c r="C449" s="132"/>
      <c r="D449" s="132"/>
      <c r="E449" s="132"/>
      <c r="F449" s="132"/>
      <c r="G449" s="132"/>
      <c r="H449" s="26"/>
      <c r="I449" s="26"/>
      <c r="J449" s="134"/>
      <c r="K449" s="141"/>
      <c r="L449" s="189"/>
      <c r="M449" s="134"/>
      <c r="N449" s="134"/>
      <c r="O449" s="134"/>
      <c r="P449" s="134"/>
      <c r="Q449" s="134"/>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row>
    <row r="450" spans="1:53" ht="24.75" customHeight="1">
      <c r="A450" s="9"/>
      <c r="B450" s="132"/>
      <c r="C450" s="132"/>
      <c r="D450" s="132"/>
      <c r="E450" s="132"/>
      <c r="F450" s="132"/>
      <c r="G450" s="132"/>
      <c r="H450" s="26"/>
      <c r="I450" s="26"/>
      <c r="J450" s="134"/>
      <c r="K450" s="141"/>
      <c r="L450" s="189"/>
      <c r="M450" s="134"/>
      <c r="N450" s="134"/>
      <c r="O450" s="134"/>
      <c r="P450" s="134"/>
      <c r="Q450" s="134"/>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row>
    <row r="451" spans="1:53" ht="24.75" customHeight="1">
      <c r="A451" s="9"/>
      <c r="B451" s="132"/>
      <c r="C451" s="132"/>
      <c r="D451" s="132"/>
      <c r="E451" s="132"/>
      <c r="F451" s="132"/>
      <c r="G451" s="132"/>
      <c r="H451" s="133"/>
      <c r="I451" s="26"/>
      <c r="J451" s="134"/>
      <c r="K451" s="141"/>
      <c r="L451" s="189"/>
      <c r="M451" s="134"/>
      <c r="N451" s="134"/>
      <c r="O451" s="134"/>
      <c r="P451" s="134"/>
      <c r="Q451" s="134"/>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row>
    <row r="452" spans="1:53" ht="24.75" customHeight="1">
      <c r="A452" s="9"/>
      <c r="B452" s="132"/>
      <c r="C452" s="132"/>
      <c r="D452" s="132"/>
      <c r="E452" s="132"/>
      <c r="F452" s="132"/>
      <c r="G452" s="132"/>
      <c r="H452" s="26"/>
      <c r="I452" s="26"/>
      <c r="J452" s="134"/>
      <c r="K452" s="141"/>
      <c r="L452" s="189"/>
      <c r="M452" s="134"/>
      <c r="N452" s="134"/>
      <c r="O452" s="134"/>
      <c r="P452" s="134"/>
      <c r="Q452" s="134"/>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row>
    <row r="453" spans="1:53" s="90" customFormat="1" ht="21">
      <c r="A453" s="136"/>
      <c r="B453" s="137"/>
      <c r="C453" s="139"/>
      <c r="D453" s="139"/>
      <c r="E453" s="139"/>
      <c r="F453" s="139"/>
      <c r="G453" s="139"/>
      <c r="H453" s="140"/>
      <c r="I453" s="136"/>
      <c r="J453" s="141"/>
      <c r="K453" s="141"/>
      <c r="L453" s="141"/>
      <c r="M453" s="141"/>
      <c r="N453" s="141"/>
      <c r="O453" s="141"/>
      <c r="P453" s="141"/>
      <c r="Q453" s="134"/>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row>
    <row r="454" spans="1:53" ht="21">
      <c r="A454" s="26"/>
      <c r="B454" s="132"/>
      <c r="C454" s="132"/>
      <c r="D454" s="132"/>
      <c r="E454" s="132"/>
      <c r="F454" s="132"/>
      <c r="G454" s="132"/>
      <c r="H454" s="142"/>
      <c r="I454" s="26"/>
      <c r="J454" s="141"/>
      <c r="K454" s="141"/>
      <c r="L454" s="141"/>
      <c r="M454" s="141"/>
      <c r="N454" s="141"/>
      <c r="O454" s="141"/>
      <c r="P454" s="141"/>
      <c r="Q454" s="134"/>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row>
    <row r="455" spans="1:53" ht="21">
      <c r="A455" s="26"/>
      <c r="B455" s="132"/>
      <c r="C455" s="132"/>
      <c r="D455" s="132"/>
      <c r="E455" s="132"/>
      <c r="F455" s="132"/>
      <c r="G455" s="132"/>
      <c r="H455" s="133"/>
      <c r="I455" s="26"/>
      <c r="J455" s="141"/>
      <c r="K455" s="141"/>
      <c r="L455" s="141"/>
      <c r="M455" s="141"/>
      <c r="N455" s="141"/>
      <c r="O455" s="141"/>
      <c r="P455" s="141"/>
      <c r="Q455" s="134"/>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c r="BA455" s="26"/>
    </row>
    <row r="456" spans="1:53" ht="21">
      <c r="A456" s="26"/>
      <c r="B456" s="132"/>
      <c r="C456" s="132"/>
      <c r="D456" s="132"/>
      <c r="E456" s="132"/>
      <c r="F456" s="132"/>
      <c r="G456" s="132"/>
      <c r="H456" s="133"/>
      <c r="I456" s="26"/>
      <c r="J456" s="141"/>
      <c r="K456" s="141"/>
      <c r="L456" s="141"/>
      <c r="M456" s="141"/>
      <c r="N456" s="141"/>
      <c r="O456" s="141"/>
      <c r="P456" s="141"/>
      <c r="Q456" s="134"/>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row>
    <row r="457" spans="1:53" s="95" customFormat="1" ht="21">
      <c r="A457" s="136"/>
      <c r="B457" s="139"/>
      <c r="C457" s="139"/>
      <c r="D457" s="139"/>
      <c r="E457" s="139"/>
      <c r="F457" s="139"/>
      <c r="G457" s="139"/>
      <c r="H457" s="136"/>
      <c r="I457" s="136"/>
      <c r="J457" s="141"/>
      <c r="K457" s="141"/>
      <c r="L457" s="141"/>
      <c r="M457" s="141"/>
      <c r="N457" s="141"/>
      <c r="O457" s="141"/>
      <c r="P457" s="141"/>
      <c r="Q457" s="134"/>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row>
    <row r="458" spans="1:53" ht="21">
      <c r="A458" s="26"/>
      <c r="B458" s="132"/>
      <c r="C458" s="132"/>
      <c r="D458" s="132"/>
      <c r="E458" s="132"/>
      <c r="F458" s="132"/>
      <c r="G458" s="132"/>
      <c r="H458" s="26"/>
      <c r="I458" s="26"/>
      <c r="J458" s="141"/>
      <c r="K458" s="141"/>
      <c r="L458" s="141"/>
      <c r="M458" s="141"/>
      <c r="N458" s="141"/>
      <c r="O458" s="141"/>
      <c r="P458" s="141"/>
      <c r="Q458" s="134"/>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row>
    <row r="459" spans="1:53" ht="21">
      <c r="A459" s="26"/>
      <c r="B459" s="132"/>
      <c r="C459" s="132"/>
      <c r="D459" s="132"/>
      <c r="E459" s="132"/>
      <c r="F459" s="132"/>
      <c r="G459" s="132"/>
      <c r="H459" s="26"/>
      <c r="I459" s="26"/>
      <c r="J459" s="141"/>
      <c r="K459" s="141"/>
      <c r="L459" s="141"/>
      <c r="M459" s="141"/>
      <c r="N459" s="141"/>
      <c r="O459" s="141"/>
      <c r="P459" s="141"/>
      <c r="Q459" s="134"/>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c r="BA459" s="26"/>
    </row>
    <row r="460" spans="1:53" ht="21">
      <c r="A460" s="26"/>
      <c r="B460" s="132"/>
      <c r="C460" s="132"/>
      <c r="D460" s="132"/>
      <c r="E460" s="132"/>
      <c r="F460" s="132"/>
      <c r="G460" s="132"/>
      <c r="H460" s="132"/>
      <c r="I460" s="132"/>
      <c r="J460" s="141"/>
      <c r="K460" s="141"/>
      <c r="L460" s="141"/>
      <c r="M460" s="141"/>
      <c r="N460" s="141"/>
      <c r="O460" s="141"/>
      <c r="P460" s="141"/>
      <c r="Q460" s="134"/>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c r="BA460" s="26"/>
    </row>
    <row r="461" spans="1:53" s="94" customFormat="1" ht="21">
      <c r="A461" s="136"/>
      <c r="B461" s="132"/>
      <c r="C461" s="132"/>
      <c r="D461" s="132"/>
      <c r="E461" s="132"/>
      <c r="F461" s="132"/>
      <c r="G461" s="132"/>
      <c r="H461" s="133"/>
      <c r="I461" s="26"/>
      <c r="J461" s="141"/>
      <c r="K461" s="141"/>
      <c r="L461" s="141"/>
      <c r="M461" s="141"/>
      <c r="N461" s="141"/>
      <c r="O461" s="141"/>
      <c r="P461" s="141"/>
      <c r="Q461" s="134"/>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c r="BA461" s="26"/>
    </row>
    <row r="462" spans="1:53" s="91" customFormat="1" ht="21">
      <c r="A462" s="136"/>
      <c r="B462" s="139"/>
      <c r="C462" s="139"/>
      <c r="D462" s="139"/>
      <c r="E462" s="139"/>
      <c r="F462" s="139"/>
      <c r="G462" s="139"/>
      <c r="H462" s="140"/>
      <c r="I462" s="136"/>
      <c r="J462" s="134"/>
      <c r="K462" s="141"/>
      <c r="L462" s="189"/>
      <c r="M462" s="134"/>
      <c r="N462" s="134"/>
      <c r="O462" s="134"/>
      <c r="P462" s="134"/>
      <c r="Q462" s="134"/>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row>
    <row r="463" spans="1:53" ht="24.75" customHeight="1">
      <c r="A463" s="128"/>
      <c r="B463" s="132"/>
      <c r="C463" s="132"/>
      <c r="D463" s="132"/>
      <c r="E463" s="132"/>
      <c r="F463" s="132"/>
      <c r="G463" s="132"/>
      <c r="H463" s="133"/>
      <c r="I463" s="26"/>
      <c r="J463" s="134"/>
      <c r="K463" s="141"/>
      <c r="L463" s="189"/>
      <c r="M463" s="134"/>
      <c r="N463" s="134"/>
      <c r="O463" s="134"/>
      <c r="P463" s="134"/>
      <c r="Q463" s="134"/>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row>
    <row r="464" spans="1:53" ht="24.75" customHeight="1">
      <c r="A464" s="128"/>
      <c r="B464" s="132"/>
      <c r="C464" s="132"/>
      <c r="D464" s="132"/>
      <c r="E464" s="132"/>
      <c r="F464" s="132"/>
      <c r="G464" s="132"/>
      <c r="H464" s="133"/>
      <c r="I464" s="26"/>
      <c r="J464" s="134"/>
      <c r="K464" s="141"/>
      <c r="L464" s="189"/>
      <c r="M464" s="134"/>
      <c r="N464" s="134"/>
      <c r="O464" s="134"/>
      <c r="P464" s="134"/>
      <c r="Q464" s="134"/>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c r="BA464" s="26"/>
    </row>
    <row r="465" spans="1:53" ht="24.75" customHeight="1">
      <c r="A465" s="128"/>
      <c r="B465" s="132"/>
      <c r="C465" s="132"/>
      <c r="D465" s="132"/>
      <c r="E465" s="132"/>
      <c r="F465" s="132"/>
      <c r="G465" s="132"/>
      <c r="H465" s="133"/>
      <c r="I465" s="26"/>
      <c r="J465" s="134"/>
      <c r="K465" s="141"/>
      <c r="L465" s="189"/>
      <c r="M465" s="134"/>
      <c r="N465" s="134"/>
      <c r="O465" s="134"/>
      <c r="P465" s="134"/>
      <c r="Q465" s="134"/>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c r="BA465" s="26"/>
    </row>
    <row r="466" spans="1:53" s="92" customFormat="1" ht="21">
      <c r="A466" s="136"/>
      <c r="B466" s="139"/>
      <c r="C466" s="139"/>
      <c r="D466" s="139"/>
      <c r="E466" s="139"/>
      <c r="F466" s="139"/>
      <c r="G466" s="139"/>
      <c r="H466" s="140"/>
      <c r="I466" s="136"/>
      <c r="J466" s="129"/>
      <c r="K466" s="141"/>
      <c r="L466" s="188"/>
      <c r="M466" s="129"/>
      <c r="N466" s="129"/>
      <c r="O466" s="39"/>
      <c r="P466" s="39"/>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row>
    <row r="467" spans="1:53" ht="24.75" customHeight="1">
      <c r="A467" s="128"/>
      <c r="B467" s="143"/>
      <c r="C467" s="132"/>
      <c r="D467" s="132"/>
      <c r="E467" s="132"/>
      <c r="F467" s="132"/>
      <c r="G467" s="132"/>
      <c r="H467" s="133"/>
      <c r="I467" s="26"/>
      <c r="J467" s="134"/>
      <c r="K467" s="141"/>
      <c r="L467" s="189"/>
      <c r="M467" s="134"/>
      <c r="N467" s="134"/>
      <c r="O467" s="134"/>
      <c r="P467" s="134"/>
      <c r="Q467" s="134"/>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c r="BA467" s="26"/>
    </row>
    <row r="468" spans="1:53" ht="24.75" customHeight="1">
      <c r="A468" s="128"/>
      <c r="B468" s="132"/>
      <c r="C468" s="132"/>
      <c r="D468" s="132"/>
      <c r="E468" s="132"/>
      <c r="F468" s="132"/>
      <c r="G468" s="132"/>
      <c r="H468" s="133"/>
      <c r="I468" s="26"/>
      <c r="J468" s="134"/>
      <c r="K468" s="141"/>
      <c r="L468" s="189"/>
      <c r="M468" s="134"/>
      <c r="N468" s="134"/>
      <c r="O468" s="134"/>
      <c r="P468" s="134"/>
      <c r="Q468" s="134"/>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row>
    <row r="469" spans="1:53" ht="24.75" customHeight="1">
      <c r="A469" s="128"/>
      <c r="B469" s="132"/>
      <c r="C469" s="132"/>
      <c r="D469" s="132"/>
      <c r="E469" s="132"/>
      <c r="F469" s="132"/>
      <c r="G469" s="132"/>
      <c r="H469" s="133"/>
      <c r="I469" s="26"/>
      <c r="J469" s="134"/>
      <c r="K469" s="141"/>
      <c r="L469" s="189"/>
      <c r="M469" s="134"/>
      <c r="N469" s="134"/>
      <c r="O469" s="134"/>
      <c r="P469" s="134"/>
      <c r="Q469" s="134"/>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row>
    <row r="470" spans="1:53" s="93" customFormat="1" ht="21">
      <c r="A470" s="136"/>
      <c r="B470" s="139"/>
      <c r="C470" s="139"/>
      <c r="D470" s="139"/>
      <c r="E470" s="139"/>
      <c r="F470" s="139"/>
      <c r="G470" s="139"/>
      <c r="H470" s="140"/>
      <c r="I470" s="144"/>
      <c r="J470" s="129"/>
      <c r="K470" s="141"/>
      <c r="L470" s="188"/>
      <c r="M470" s="129"/>
      <c r="N470" s="129"/>
      <c r="O470" s="139"/>
      <c r="P470" s="39"/>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row>
    <row r="471" spans="1:53" ht="24.75" customHeight="1">
      <c r="A471" s="128"/>
      <c r="B471" s="132"/>
      <c r="C471" s="132"/>
      <c r="D471" s="132"/>
      <c r="E471" s="132"/>
      <c r="F471" s="132"/>
      <c r="G471" s="132"/>
      <c r="H471" s="133"/>
      <c r="I471" s="26"/>
      <c r="J471" s="134"/>
      <c r="K471" s="141"/>
      <c r="L471" s="189"/>
      <c r="M471" s="134"/>
      <c r="N471" s="134"/>
      <c r="O471" s="134"/>
      <c r="P471" s="134"/>
      <c r="Q471" s="134"/>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row>
    <row r="472" spans="1:53" ht="24.75" customHeight="1">
      <c r="A472" s="128"/>
      <c r="B472" s="132"/>
      <c r="C472" s="132"/>
      <c r="D472" s="132"/>
      <c r="E472" s="132"/>
      <c r="F472" s="132"/>
      <c r="G472" s="132"/>
      <c r="H472" s="133"/>
      <c r="I472" s="26"/>
      <c r="J472" s="134"/>
      <c r="K472" s="141"/>
      <c r="L472" s="189"/>
      <c r="M472" s="134"/>
      <c r="N472" s="134"/>
      <c r="O472" s="134"/>
      <c r="P472" s="134"/>
      <c r="Q472" s="134"/>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c r="BA472" s="26"/>
    </row>
    <row r="473" spans="1:53" ht="24.75" customHeight="1">
      <c r="A473" s="128"/>
      <c r="B473" s="132"/>
      <c r="C473" s="143"/>
      <c r="D473" s="132"/>
      <c r="E473" s="132"/>
      <c r="F473" s="132"/>
      <c r="G473" s="132"/>
      <c r="H473" s="133"/>
      <c r="I473" s="26"/>
      <c r="J473" s="134"/>
      <c r="K473" s="141"/>
      <c r="L473" s="189"/>
      <c r="M473" s="134"/>
      <c r="N473" s="134"/>
      <c r="O473" s="134"/>
      <c r="P473" s="134"/>
      <c r="Q473" s="134"/>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c r="BA473" s="26"/>
    </row>
    <row r="474" spans="1:53" ht="24.75" customHeight="1">
      <c r="A474" s="128"/>
      <c r="B474" s="132"/>
      <c r="C474" s="132"/>
      <c r="D474" s="132"/>
      <c r="E474" s="132"/>
      <c r="F474" s="132"/>
      <c r="G474" s="132"/>
      <c r="H474" s="133"/>
      <c r="I474" s="26"/>
      <c r="J474" s="134"/>
      <c r="K474" s="141"/>
      <c r="L474" s="189"/>
      <c r="M474" s="134"/>
      <c r="N474" s="134"/>
      <c r="O474" s="134"/>
      <c r="P474" s="134"/>
      <c r="Q474" s="134"/>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c r="BA474" s="26"/>
    </row>
    <row r="475" spans="1:53" s="97" customFormat="1" ht="24.75" customHeight="1">
      <c r="A475" s="136"/>
      <c r="B475" s="139"/>
      <c r="C475" s="139"/>
      <c r="D475" s="139"/>
      <c r="E475" s="139"/>
      <c r="F475" s="139"/>
      <c r="G475" s="129"/>
      <c r="H475" s="140"/>
      <c r="I475" s="136"/>
      <c r="J475" s="134"/>
      <c r="K475" s="141"/>
      <c r="L475" s="189"/>
      <c r="M475" s="134"/>
      <c r="N475" s="134"/>
      <c r="O475" s="134"/>
      <c r="P475" s="134"/>
      <c r="Q475" s="134"/>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row>
    <row r="476" spans="1:53" s="109" customFormat="1" ht="21">
      <c r="A476" s="145"/>
      <c r="B476" s="139"/>
      <c r="C476" s="139"/>
      <c r="D476" s="139"/>
      <c r="E476" s="139"/>
      <c r="F476" s="139"/>
      <c r="G476" s="139"/>
      <c r="H476" s="140"/>
      <c r="I476" s="136"/>
      <c r="J476" s="129"/>
      <c r="K476" s="141"/>
      <c r="L476" s="188"/>
      <c r="M476" s="129"/>
      <c r="N476" s="129"/>
      <c r="O476" s="39"/>
      <c r="P476" s="39"/>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row>
    <row r="477" spans="1:53" s="110" customFormat="1" ht="21">
      <c r="A477" s="145"/>
      <c r="B477" s="139"/>
      <c r="C477" s="139"/>
      <c r="D477" s="139"/>
      <c r="E477" s="139"/>
      <c r="F477" s="139"/>
      <c r="G477" s="139"/>
      <c r="H477" s="140"/>
      <c r="I477" s="136"/>
      <c r="J477" s="129"/>
      <c r="K477" s="141"/>
      <c r="L477" s="188"/>
      <c r="M477" s="129"/>
      <c r="N477" s="129"/>
      <c r="O477" s="39"/>
      <c r="P477" s="39"/>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row>
    <row r="478" spans="1:53" s="102" customFormat="1" ht="21">
      <c r="A478" s="145"/>
      <c r="B478" s="139"/>
      <c r="C478" s="139"/>
      <c r="D478" s="139"/>
      <c r="E478" s="139"/>
      <c r="F478" s="139"/>
      <c r="G478" s="139"/>
      <c r="H478" s="136"/>
      <c r="I478" s="136"/>
      <c r="J478" s="136"/>
      <c r="K478" s="141"/>
      <c r="L478" s="190"/>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row>
    <row r="479" spans="1:53" s="111" customFormat="1" ht="21">
      <c r="A479" s="146"/>
      <c r="B479" s="139"/>
      <c r="C479" s="139"/>
      <c r="D479" s="139"/>
      <c r="E479" s="139"/>
      <c r="F479" s="139"/>
      <c r="G479" s="139"/>
      <c r="H479" s="140"/>
      <c r="I479" s="136"/>
      <c r="J479" s="136"/>
      <c r="K479" s="141"/>
      <c r="L479" s="190"/>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row>
    <row r="480" spans="1:53" s="112" customFormat="1" ht="21">
      <c r="A480" s="145"/>
      <c r="B480" s="139"/>
      <c r="C480" s="139"/>
      <c r="D480" s="139"/>
      <c r="E480" s="139"/>
      <c r="F480" s="139"/>
      <c r="G480" s="139"/>
      <c r="H480" s="140"/>
      <c r="I480" s="136"/>
      <c r="J480" s="136"/>
      <c r="K480" s="141"/>
      <c r="L480" s="190"/>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row>
    <row r="481" spans="1:53" s="103" customFormat="1" ht="18.75">
      <c r="A481" s="147"/>
      <c r="B481" s="148"/>
      <c r="C481" s="148"/>
      <c r="D481" s="148"/>
      <c r="E481" s="148"/>
      <c r="F481" s="148"/>
      <c r="G481" s="148"/>
      <c r="H481" s="147"/>
      <c r="I481" s="147"/>
      <c r="J481" s="147"/>
      <c r="K481" s="149"/>
      <c r="L481" s="191"/>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7"/>
      <c r="AY481" s="147"/>
      <c r="AZ481" s="147"/>
      <c r="BA481" s="147"/>
    </row>
    <row r="482" spans="1:53" s="103" customFormat="1" ht="18.75">
      <c r="A482" s="147"/>
      <c r="B482" s="150"/>
      <c r="C482" s="151"/>
      <c r="D482" s="150"/>
      <c r="E482" s="148"/>
      <c r="F482" s="148"/>
      <c r="G482" s="152"/>
      <c r="H482" s="113"/>
      <c r="I482" s="113"/>
      <c r="J482" s="153"/>
      <c r="K482" s="153"/>
      <c r="L482" s="192"/>
      <c r="M482" s="153"/>
      <c r="N482" s="153"/>
      <c r="O482" s="113"/>
      <c r="P482" s="113"/>
      <c r="Q482" s="147"/>
      <c r="R482" s="147"/>
      <c r="S482" s="154"/>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row>
    <row r="483" spans="1:53" ht="15.75">
      <c r="A483" s="142"/>
      <c r="B483" s="155"/>
      <c r="C483" s="155"/>
      <c r="D483" s="26"/>
      <c r="E483" s="26"/>
      <c r="F483" s="26"/>
      <c r="G483" s="26"/>
      <c r="H483" s="26"/>
      <c r="I483" s="26"/>
      <c r="J483" s="26"/>
      <c r="K483" s="139"/>
      <c r="L483" s="193"/>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c r="BA483" s="26"/>
    </row>
    <row r="484" spans="1:53" ht="15.75">
      <c r="A484" s="156"/>
      <c r="B484" s="123"/>
      <c r="C484" s="155"/>
      <c r="D484" s="126"/>
      <c r="E484" s="157"/>
      <c r="F484" s="157"/>
      <c r="G484" s="128"/>
      <c r="I484" s="39"/>
      <c r="J484" s="129"/>
      <c r="K484" s="129"/>
      <c r="L484" s="188"/>
      <c r="M484" s="129"/>
      <c r="N484" s="129"/>
      <c r="O484" s="130"/>
      <c r="P484" s="39"/>
      <c r="Q484" s="128"/>
      <c r="R484" s="128"/>
      <c r="S484" s="131"/>
      <c r="T484" s="3"/>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row>
    <row r="485" spans="1:53" ht="15.75">
      <c r="A485" s="123"/>
      <c r="B485" s="126"/>
      <c r="C485" s="158"/>
      <c r="D485" s="123"/>
      <c r="E485" s="157"/>
      <c r="F485" s="157"/>
      <c r="G485" s="128"/>
      <c r="I485" s="39"/>
      <c r="J485" s="129"/>
      <c r="K485" s="129"/>
      <c r="L485" s="188"/>
      <c r="M485" s="129"/>
      <c r="N485" s="129"/>
      <c r="O485" s="130"/>
      <c r="P485" s="39"/>
      <c r="Q485" s="128"/>
      <c r="R485" s="128"/>
      <c r="S485" s="131"/>
      <c r="T485" s="3"/>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row>
    <row r="486" spans="1:53" ht="15.75">
      <c r="A486" s="123"/>
      <c r="B486" s="159"/>
      <c r="C486" s="125"/>
      <c r="D486" s="123"/>
      <c r="E486" s="157"/>
      <c r="F486" s="157"/>
      <c r="G486" s="128"/>
      <c r="I486" s="39"/>
      <c r="J486" s="129"/>
      <c r="K486" s="129"/>
      <c r="L486" s="188"/>
      <c r="M486" s="129"/>
      <c r="N486" s="129"/>
      <c r="O486" s="130"/>
      <c r="P486" s="39"/>
      <c r="Q486" s="128"/>
      <c r="R486" s="128"/>
      <c r="S486" s="131"/>
      <c r="T486" s="3"/>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row>
    <row r="487" spans="1:53" ht="15.75">
      <c r="A487" s="123"/>
      <c r="B487" s="123"/>
      <c r="C487" s="160"/>
      <c r="D487" s="126"/>
      <c r="E487" s="157"/>
      <c r="F487" s="157"/>
      <c r="G487" s="128"/>
      <c r="I487" s="39"/>
      <c r="J487" s="129"/>
      <c r="K487" s="129"/>
      <c r="L487" s="188"/>
      <c r="M487" s="129"/>
      <c r="N487" s="129"/>
      <c r="O487" s="130"/>
      <c r="P487" s="39"/>
      <c r="Q487" s="128"/>
      <c r="R487" s="128"/>
      <c r="S487" s="131"/>
      <c r="T487" s="3"/>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c r="BA487" s="26"/>
    </row>
    <row r="488" spans="1:53" ht="15.75">
      <c r="A488" s="123"/>
      <c r="B488" s="123"/>
      <c r="C488" s="160"/>
      <c r="D488" s="123"/>
      <c r="E488" s="157"/>
      <c r="F488" s="157"/>
      <c r="G488" s="128"/>
      <c r="I488" s="39"/>
      <c r="J488" s="129"/>
      <c r="K488" s="129"/>
      <c r="L488" s="188"/>
      <c r="M488" s="129"/>
      <c r="N488" s="129"/>
      <c r="O488" s="130"/>
      <c r="P488" s="39"/>
      <c r="Q488" s="128"/>
      <c r="R488" s="128"/>
      <c r="S488" s="131"/>
      <c r="T488" s="3"/>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c r="BA488" s="26"/>
    </row>
    <row r="489" spans="1:53" ht="15.75">
      <c r="A489" s="123"/>
      <c r="B489" s="126"/>
      <c r="C489" s="160"/>
      <c r="D489" s="123"/>
      <c r="E489" s="157"/>
      <c r="F489" s="157"/>
      <c r="G489" s="128"/>
      <c r="I489" s="39"/>
      <c r="J489" s="129"/>
      <c r="K489" s="129"/>
      <c r="L489" s="188"/>
      <c r="M489" s="129"/>
      <c r="N489" s="129"/>
      <c r="O489" s="130"/>
      <c r="P489" s="39"/>
      <c r="Q489" s="128"/>
      <c r="R489" s="128"/>
      <c r="S489" s="131"/>
      <c r="T489" s="3"/>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c r="BA489" s="26"/>
    </row>
    <row r="490" spans="1:53" ht="15.75">
      <c r="A490" s="123"/>
      <c r="B490" s="159"/>
      <c r="C490" s="125"/>
      <c r="D490" s="123"/>
      <c r="E490" s="157"/>
      <c r="F490" s="157"/>
      <c r="G490" s="128"/>
      <c r="I490" s="39"/>
      <c r="J490" s="129"/>
      <c r="K490" s="129"/>
      <c r="L490" s="188"/>
      <c r="M490" s="129"/>
      <c r="N490" s="129"/>
      <c r="O490" s="130"/>
      <c r="P490" s="39"/>
      <c r="Q490" s="128"/>
      <c r="R490" s="128"/>
      <c r="S490" s="131"/>
      <c r="T490" s="3"/>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c r="BA490" s="26"/>
    </row>
    <row r="491" spans="1:53" ht="15.75">
      <c r="A491" s="123"/>
      <c r="B491" s="123"/>
      <c r="C491" s="160"/>
      <c r="D491" s="123"/>
      <c r="E491" s="157"/>
      <c r="F491" s="157"/>
      <c r="G491" s="128"/>
      <c r="I491" s="39"/>
      <c r="J491" s="129"/>
      <c r="K491" s="129"/>
      <c r="L491" s="188"/>
      <c r="M491" s="129"/>
      <c r="N491" s="129"/>
      <c r="O491" s="130"/>
      <c r="P491" s="39"/>
      <c r="Q491" s="128"/>
      <c r="R491" s="128"/>
      <c r="S491" s="131"/>
      <c r="T491" s="3"/>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c r="BA491" s="26"/>
    </row>
    <row r="492" spans="1:53" ht="15.75">
      <c r="A492" s="123"/>
      <c r="B492" s="123"/>
      <c r="C492" s="160"/>
      <c r="D492" s="123"/>
      <c r="E492" s="157"/>
      <c r="F492" s="157"/>
      <c r="G492" s="128"/>
      <c r="I492" s="39"/>
      <c r="J492" s="129"/>
      <c r="K492" s="129"/>
      <c r="L492" s="188"/>
      <c r="M492" s="129"/>
      <c r="N492" s="129"/>
      <c r="O492" s="130"/>
      <c r="P492" s="39"/>
      <c r="Q492" s="128"/>
      <c r="R492" s="128"/>
      <c r="S492" s="131"/>
      <c r="T492" s="3"/>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c r="BA492" s="26"/>
    </row>
    <row r="493" spans="1:53" ht="15.75">
      <c r="A493" s="123"/>
      <c r="B493" s="123"/>
      <c r="C493" s="160"/>
      <c r="D493" s="123"/>
      <c r="E493" s="157"/>
      <c r="F493" s="157"/>
      <c r="G493" s="128"/>
      <c r="I493" s="39"/>
      <c r="J493" s="129"/>
      <c r="K493" s="129"/>
      <c r="L493" s="188"/>
      <c r="M493" s="129"/>
      <c r="N493" s="129"/>
      <c r="O493" s="130"/>
      <c r="P493" s="39"/>
      <c r="Q493" s="128"/>
      <c r="R493" s="128"/>
      <c r="S493" s="131"/>
      <c r="T493" s="3"/>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c r="BA493" s="26"/>
    </row>
    <row r="494" spans="1:53" ht="15.75">
      <c r="A494" s="123"/>
      <c r="B494" s="126"/>
      <c r="C494" s="160"/>
      <c r="D494" s="123"/>
      <c r="E494" s="157"/>
      <c r="F494" s="157"/>
      <c r="G494" s="128"/>
      <c r="I494" s="39"/>
      <c r="J494" s="129"/>
      <c r="K494" s="129"/>
      <c r="L494" s="188"/>
      <c r="M494" s="129"/>
      <c r="N494" s="129"/>
      <c r="O494" s="130"/>
      <c r="P494" s="39"/>
      <c r="Q494" s="128"/>
      <c r="R494" s="128"/>
      <c r="S494" s="131"/>
      <c r="T494" s="3"/>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c r="BA494" s="26"/>
    </row>
    <row r="495" spans="1:53" ht="15.75">
      <c r="A495" s="123"/>
      <c r="B495" s="126"/>
      <c r="C495" s="160"/>
      <c r="D495" s="123"/>
      <c r="E495" s="157"/>
      <c r="F495" s="157"/>
      <c r="G495" s="128"/>
      <c r="I495" s="39"/>
      <c r="J495" s="129"/>
      <c r="K495" s="129"/>
      <c r="L495" s="188"/>
      <c r="M495" s="129"/>
      <c r="N495" s="129"/>
      <c r="O495" s="130"/>
      <c r="P495" s="39"/>
      <c r="Q495" s="128"/>
      <c r="R495" s="128"/>
      <c r="S495" s="131"/>
      <c r="T495" s="3"/>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row>
    <row r="496" spans="1:53" ht="15.75">
      <c r="A496" s="123"/>
      <c r="B496" s="126"/>
      <c r="C496" s="160"/>
      <c r="D496" s="123"/>
      <c r="E496" s="157"/>
      <c r="F496" s="157"/>
      <c r="G496" s="128"/>
      <c r="I496" s="39"/>
      <c r="J496" s="129"/>
      <c r="K496" s="129"/>
      <c r="L496" s="188"/>
      <c r="M496" s="129"/>
      <c r="N496" s="129"/>
      <c r="O496" s="130"/>
      <c r="P496" s="39"/>
      <c r="Q496" s="128"/>
      <c r="R496" s="128"/>
      <c r="S496" s="131"/>
      <c r="T496" s="3"/>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row>
    <row r="497" spans="1:53" ht="15.75">
      <c r="A497" s="123"/>
      <c r="B497" s="123"/>
      <c r="C497" s="160"/>
      <c r="D497" s="123"/>
      <c r="E497" s="157"/>
      <c r="F497" s="157"/>
      <c r="G497" s="128"/>
      <c r="I497" s="39"/>
      <c r="J497" s="129"/>
      <c r="K497" s="129"/>
      <c r="L497" s="188"/>
      <c r="M497" s="129"/>
      <c r="N497" s="129"/>
      <c r="O497" s="130"/>
      <c r="P497" s="39"/>
      <c r="Q497" s="128"/>
      <c r="R497" s="128"/>
      <c r="S497" s="131"/>
      <c r="T497" s="3"/>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c r="BA497" s="26"/>
    </row>
    <row r="498" spans="1:53" ht="15.75">
      <c r="A498" s="123"/>
      <c r="B498" s="123"/>
      <c r="C498" s="160"/>
      <c r="D498" s="123"/>
      <c r="E498" s="157"/>
      <c r="F498" s="157"/>
      <c r="G498" s="128"/>
      <c r="I498" s="39"/>
      <c r="J498" s="129"/>
      <c r="K498" s="129"/>
      <c r="L498" s="188"/>
      <c r="M498" s="129"/>
      <c r="N498" s="129"/>
      <c r="O498" s="130"/>
      <c r="P498" s="39"/>
      <c r="Q498" s="128"/>
      <c r="R498" s="128"/>
      <c r="S498" s="131"/>
      <c r="T498" s="3"/>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c r="BA498" s="26"/>
    </row>
    <row r="499" spans="1:53" ht="15.75">
      <c r="A499" s="123"/>
      <c r="B499" s="123"/>
      <c r="C499" s="160"/>
      <c r="D499" s="123"/>
      <c r="E499" s="157"/>
      <c r="F499" s="157"/>
      <c r="G499" s="128"/>
      <c r="I499" s="39"/>
      <c r="J499" s="129"/>
      <c r="K499" s="129"/>
      <c r="L499" s="188"/>
      <c r="M499" s="129"/>
      <c r="N499" s="129"/>
      <c r="O499" s="130"/>
      <c r="P499" s="39"/>
      <c r="Q499" s="128"/>
      <c r="R499" s="128"/>
      <c r="S499" s="131"/>
      <c r="T499" s="3"/>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c r="BA499" s="26"/>
    </row>
    <row r="500" spans="1:53" ht="15.75">
      <c r="A500" s="123"/>
      <c r="B500" s="123"/>
      <c r="C500" s="160"/>
      <c r="D500" s="123"/>
      <c r="E500" s="157"/>
      <c r="F500" s="157"/>
      <c r="G500" s="128"/>
      <c r="I500" s="39"/>
      <c r="J500" s="129"/>
      <c r="K500" s="129"/>
      <c r="L500" s="188"/>
      <c r="M500" s="129"/>
      <c r="N500" s="129"/>
      <c r="O500" s="130"/>
      <c r="P500" s="39"/>
      <c r="Q500" s="128"/>
      <c r="R500" s="128"/>
      <c r="S500" s="131"/>
      <c r="T500" s="3"/>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row>
    <row r="501" spans="1:53" ht="15.75">
      <c r="A501" s="123"/>
      <c r="B501" s="123"/>
      <c r="C501" s="160"/>
      <c r="D501" s="123"/>
      <c r="E501" s="157"/>
      <c r="F501" s="157"/>
      <c r="G501" s="128"/>
      <c r="I501" s="39"/>
      <c r="J501" s="129"/>
      <c r="K501" s="129"/>
      <c r="L501" s="188"/>
      <c r="M501" s="129"/>
      <c r="N501" s="129"/>
      <c r="O501" s="130"/>
      <c r="P501" s="39"/>
      <c r="Q501" s="128"/>
      <c r="R501" s="128"/>
      <c r="S501" s="131"/>
      <c r="T501" s="3"/>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row>
    <row r="502" spans="1:53" ht="15.75">
      <c r="A502" s="123"/>
      <c r="B502" s="123"/>
      <c r="C502" s="160"/>
      <c r="D502" s="123"/>
      <c r="E502" s="157"/>
      <c r="F502" s="157"/>
      <c r="G502" s="128"/>
      <c r="I502" s="39"/>
      <c r="J502" s="129"/>
      <c r="K502" s="129"/>
      <c r="L502" s="188"/>
      <c r="M502" s="129"/>
      <c r="N502" s="129"/>
      <c r="O502" s="130"/>
      <c r="P502" s="39"/>
      <c r="Q502" s="128"/>
      <c r="R502" s="128"/>
      <c r="S502" s="131"/>
      <c r="T502" s="3"/>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c r="BA502" s="26"/>
    </row>
    <row r="503" spans="1:53" ht="15.75">
      <c r="A503" s="123"/>
      <c r="B503" s="123"/>
      <c r="C503" s="160"/>
      <c r="D503" s="123"/>
      <c r="E503" s="157"/>
      <c r="F503" s="157"/>
      <c r="G503" s="128"/>
      <c r="I503" s="39"/>
      <c r="J503" s="129"/>
      <c r="K503" s="129"/>
      <c r="L503" s="188"/>
      <c r="M503" s="129"/>
      <c r="N503" s="129"/>
      <c r="O503" s="130"/>
      <c r="P503" s="39"/>
      <c r="Q503" s="128"/>
      <c r="R503" s="128"/>
      <c r="S503" s="131"/>
      <c r="T503" s="3"/>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row>
    <row r="504" spans="1:53" ht="15.75">
      <c r="A504" s="123"/>
      <c r="B504" s="123"/>
      <c r="C504" s="160"/>
      <c r="D504" s="123"/>
      <c r="E504" s="157"/>
      <c r="F504" s="157"/>
      <c r="G504" s="128"/>
      <c r="I504" s="39"/>
      <c r="J504" s="129"/>
      <c r="K504" s="129"/>
      <c r="L504" s="188"/>
      <c r="M504" s="129"/>
      <c r="N504" s="129"/>
      <c r="O504" s="130"/>
      <c r="P504" s="39"/>
      <c r="Q504" s="128"/>
      <c r="R504" s="128"/>
      <c r="S504" s="131"/>
      <c r="T504" s="3"/>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row>
    <row r="505" spans="1:53" ht="15.75">
      <c r="A505" s="123"/>
      <c r="B505" s="123"/>
      <c r="C505" s="160"/>
      <c r="D505" s="123"/>
      <c r="E505" s="157"/>
      <c r="F505" s="157"/>
      <c r="G505" s="128"/>
      <c r="I505" s="39"/>
      <c r="J505" s="129"/>
      <c r="K505" s="129"/>
      <c r="L505" s="188"/>
      <c r="M505" s="129"/>
      <c r="N505" s="129"/>
      <c r="O505" s="130"/>
      <c r="P505" s="39"/>
      <c r="Q505" s="128"/>
      <c r="R505" s="128"/>
      <c r="S505" s="131"/>
      <c r="T505" s="3"/>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row>
    <row r="506" spans="1:53" ht="15.75">
      <c r="A506" s="123"/>
      <c r="B506" s="123"/>
      <c r="C506" s="160"/>
      <c r="D506" s="123"/>
      <c r="E506" s="157"/>
      <c r="F506" s="157"/>
      <c r="G506" s="128"/>
      <c r="I506" s="39"/>
      <c r="J506" s="129"/>
      <c r="K506" s="129"/>
      <c r="L506" s="188"/>
      <c r="M506" s="129"/>
      <c r="N506" s="129"/>
      <c r="O506" s="130"/>
      <c r="P506" s="39"/>
      <c r="Q506" s="128"/>
      <c r="R506" s="128"/>
      <c r="S506" s="131"/>
      <c r="T506" s="3"/>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row>
    <row r="507" spans="1:53" ht="15.75">
      <c r="A507" s="123"/>
      <c r="B507" s="123"/>
      <c r="C507" s="160"/>
      <c r="D507" s="123"/>
      <c r="E507" s="157"/>
      <c r="F507" s="157"/>
      <c r="G507" s="128"/>
      <c r="I507" s="39"/>
      <c r="J507" s="129"/>
      <c r="K507" s="129"/>
      <c r="L507" s="188"/>
      <c r="M507" s="129"/>
      <c r="N507" s="129"/>
      <c r="O507" s="130"/>
      <c r="P507" s="39"/>
      <c r="Q507" s="128"/>
      <c r="R507" s="128"/>
      <c r="S507" s="131"/>
      <c r="T507" s="3"/>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c r="BA507" s="26"/>
    </row>
    <row r="508" spans="1:53" ht="15.75">
      <c r="A508" s="123"/>
      <c r="B508" s="123"/>
      <c r="C508" s="160"/>
      <c r="D508" s="123"/>
      <c r="E508" s="157"/>
      <c r="F508" s="157"/>
      <c r="G508" s="128"/>
      <c r="I508" s="39"/>
      <c r="J508" s="129"/>
      <c r="K508" s="129"/>
      <c r="L508" s="188"/>
      <c r="M508" s="129"/>
      <c r="N508" s="129"/>
      <c r="O508" s="130"/>
      <c r="P508" s="39"/>
      <c r="Q508" s="128"/>
      <c r="R508" s="128"/>
      <c r="S508" s="131"/>
      <c r="T508" s="3"/>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row>
    <row r="509" spans="1:53" ht="15.75">
      <c r="A509" s="123"/>
      <c r="B509" s="123"/>
      <c r="C509" s="160"/>
      <c r="D509" s="123"/>
      <c r="E509" s="157"/>
      <c r="F509" s="157"/>
      <c r="G509" s="128"/>
      <c r="I509" s="39"/>
      <c r="J509" s="129"/>
      <c r="K509" s="129"/>
      <c r="L509" s="188"/>
      <c r="M509" s="129"/>
      <c r="N509" s="129"/>
      <c r="O509" s="130"/>
      <c r="P509" s="39"/>
      <c r="Q509" s="128"/>
      <c r="R509" s="128"/>
      <c r="S509" s="131"/>
      <c r="T509" s="3"/>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c r="BA509" s="26"/>
    </row>
    <row r="510" spans="1:53" ht="15.75">
      <c r="A510" s="123"/>
      <c r="B510" s="123"/>
      <c r="C510" s="160"/>
      <c r="D510" s="123"/>
      <c r="E510" s="157"/>
      <c r="F510" s="157"/>
      <c r="G510" s="128"/>
      <c r="I510" s="39"/>
      <c r="J510" s="129"/>
      <c r="K510" s="129"/>
      <c r="L510" s="188"/>
      <c r="M510" s="129"/>
      <c r="N510" s="129"/>
      <c r="O510" s="130"/>
      <c r="P510" s="39"/>
      <c r="Q510" s="128"/>
      <c r="R510" s="128"/>
      <c r="S510" s="131"/>
      <c r="T510" s="3"/>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row>
    <row r="511" spans="1:53" ht="15.75">
      <c r="A511" s="123"/>
      <c r="B511" s="123"/>
      <c r="C511" s="160"/>
      <c r="D511" s="123"/>
      <c r="E511" s="157"/>
      <c r="F511" s="157"/>
      <c r="G511" s="128"/>
      <c r="I511" s="39"/>
      <c r="J511" s="129"/>
      <c r="K511" s="129"/>
      <c r="L511" s="188"/>
      <c r="M511" s="129"/>
      <c r="N511" s="129"/>
      <c r="O511" s="130"/>
      <c r="P511" s="39"/>
      <c r="Q511" s="128"/>
      <c r="R511" s="128"/>
      <c r="S511" s="131"/>
      <c r="T511" s="3"/>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c r="BA511" s="26"/>
    </row>
    <row r="512" spans="1:53" ht="15.75">
      <c r="A512" s="123"/>
      <c r="B512" s="123"/>
      <c r="C512" s="160"/>
      <c r="D512" s="123"/>
      <c r="E512" s="157"/>
      <c r="F512" s="157"/>
      <c r="G512" s="128"/>
      <c r="I512" s="39"/>
      <c r="J512" s="129"/>
      <c r="K512" s="129"/>
      <c r="L512" s="188"/>
      <c r="M512" s="129"/>
      <c r="N512" s="129"/>
      <c r="O512" s="130"/>
      <c r="P512" s="39"/>
      <c r="Q512" s="128"/>
      <c r="R512" s="128"/>
      <c r="S512" s="131"/>
      <c r="T512" s="3"/>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row>
    <row r="513" spans="1:53" ht="15.75">
      <c r="A513" s="123"/>
      <c r="B513" s="123"/>
      <c r="C513" s="160"/>
      <c r="D513" s="123"/>
      <c r="E513" s="157"/>
      <c r="F513" s="157"/>
      <c r="G513" s="128"/>
      <c r="I513" s="39"/>
      <c r="J513" s="129"/>
      <c r="K513" s="129"/>
      <c r="L513" s="188"/>
      <c r="M513" s="129"/>
      <c r="N513" s="129"/>
      <c r="O513" s="130"/>
      <c r="P513" s="39"/>
      <c r="Q513" s="128"/>
      <c r="R513" s="128"/>
      <c r="S513" s="131"/>
      <c r="T513" s="3"/>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c r="BA513" s="26"/>
    </row>
    <row r="514" spans="1:53" ht="15.75">
      <c r="A514" s="123"/>
      <c r="B514" s="123"/>
      <c r="C514" s="160"/>
      <c r="D514" s="123"/>
      <c r="E514" s="157"/>
      <c r="F514" s="157"/>
      <c r="G514" s="128"/>
      <c r="I514" s="39"/>
      <c r="J514" s="129"/>
      <c r="K514" s="129"/>
      <c r="L514" s="188"/>
      <c r="M514" s="129"/>
      <c r="N514" s="129"/>
      <c r="O514" s="130"/>
      <c r="P514" s="39"/>
      <c r="Q514" s="128"/>
      <c r="R514" s="128"/>
      <c r="S514" s="131"/>
      <c r="T514" s="3"/>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row>
    <row r="515" spans="1:53" ht="15.75">
      <c r="A515" s="123"/>
      <c r="B515" s="123"/>
      <c r="C515" s="160"/>
      <c r="D515" s="123"/>
      <c r="E515" s="157"/>
      <c r="F515" s="157"/>
      <c r="G515" s="128"/>
      <c r="I515" s="39"/>
      <c r="J515" s="129"/>
      <c r="K515" s="129"/>
      <c r="L515" s="188"/>
      <c r="M515" s="129"/>
      <c r="N515" s="129"/>
      <c r="O515" s="130"/>
      <c r="P515" s="39"/>
      <c r="Q515" s="128"/>
      <c r="R515" s="128"/>
      <c r="S515" s="131"/>
      <c r="T515" s="3"/>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row>
    <row r="516" spans="1:53" ht="15.75">
      <c r="A516" s="123"/>
      <c r="B516" s="123"/>
      <c r="C516" s="160"/>
      <c r="D516" s="123"/>
      <c r="E516" s="157"/>
      <c r="F516" s="157"/>
      <c r="G516" s="128"/>
      <c r="I516" s="39"/>
      <c r="J516" s="129"/>
      <c r="K516" s="129"/>
      <c r="L516" s="188"/>
      <c r="M516" s="129"/>
      <c r="N516" s="129"/>
      <c r="O516" s="130"/>
      <c r="P516" s="39"/>
      <c r="Q516" s="128"/>
      <c r="R516" s="128"/>
      <c r="S516" s="131"/>
      <c r="T516" s="3"/>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row>
    <row r="517" spans="1:53" ht="15.75">
      <c r="A517" s="123"/>
      <c r="B517" s="123"/>
      <c r="C517" s="160"/>
      <c r="D517" s="123"/>
      <c r="E517" s="157"/>
      <c r="F517" s="157"/>
      <c r="G517" s="128"/>
      <c r="I517" s="39"/>
      <c r="J517" s="129"/>
      <c r="K517" s="129"/>
      <c r="L517" s="188"/>
      <c r="M517" s="129"/>
      <c r="N517" s="129"/>
      <c r="O517" s="130"/>
      <c r="P517" s="39"/>
      <c r="Q517" s="128"/>
      <c r="R517" s="128"/>
      <c r="S517" s="131"/>
      <c r="T517" s="3"/>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row>
    <row r="518" spans="1:53" ht="15.75">
      <c r="A518" s="123"/>
      <c r="B518" s="123"/>
      <c r="C518" s="160"/>
      <c r="D518" s="123"/>
      <c r="E518" s="157"/>
      <c r="F518" s="157"/>
      <c r="G518" s="128"/>
      <c r="I518" s="39"/>
      <c r="J518" s="129"/>
      <c r="K518" s="129"/>
      <c r="L518" s="188"/>
      <c r="M518" s="129"/>
      <c r="N518" s="129"/>
      <c r="O518" s="130"/>
      <c r="P518" s="39"/>
      <c r="Q518" s="128"/>
      <c r="R518" s="128"/>
      <c r="S518" s="131"/>
      <c r="T518" s="3"/>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row>
    <row r="519" spans="1:53" ht="15.75">
      <c r="A519" s="123"/>
      <c r="B519" s="123"/>
      <c r="C519" s="160"/>
      <c r="D519" s="123"/>
      <c r="E519" s="157"/>
      <c r="F519" s="157"/>
      <c r="G519" s="128"/>
      <c r="I519" s="39"/>
      <c r="J519" s="129"/>
      <c r="K519" s="129"/>
      <c r="L519" s="188"/>
      <c r="M519" s="129"/>
      <c r="N519" s="129"/>
      <c r="O519" s="130"/>
      <c r="P519" s="39"/>
      <c r="Q519" s="128"/>
      <c r="R519" s="128"/>
      <c r="S519" s="131"/>
      <c r="T519" s="3"/>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row>
    <row r="520" spans="1:53" ht="15.75">
      <c r="A520" s="123"/>
      <c r="B520" s="123"/>
      <c r="C520" s="160"/>
      <c r="D520" s="123"/>
      <c r="E520" s="157"/>
      <c r="F520" s="157"/>
      <c r="G520" s="128"/>
      <c r="I520" s="39"/>
      <c r="J520" s="129"/>
      <c r="K520" s="129"/>
      <c r="L520" s="188"/>
      <c r="M520" s="129"/>
      <c r="N520" s="129"/>
      <c r="O520" s="130"/>
      <c r="P520" s="39"/>
      <c r="Q520" s="128"/>
      <c r="R520" s="128"/>
      <c r="S520" s="131"/>
      <c r="T520" s="3"/>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row>
    <row r="521" spans="1:53" ht="15.75">
      <c r="A521" s="123"/>
      <c r="B521" s="123"/>
      <c r="C521" s="160"/>
      <c r="D521" s="123"/>
      <c r="E521" s="157"/>
      <c r="F521" s="157"/>
      <c r="G521" s="128"/>
      <c r="I521" s="39"/>
      <c r="J521" s="129"/>
      <c r="K521" s="129"/>
      <c r="L521" s="188"/>
      <c r="M521" s="129"/>
      <c r="N521" s="129"/>
      <c r="O521" s="130"/>
      <c r="P521" s="39"/>
      <c r="Q521" s="128"/>
      <c r="R521" s="128"/>
      <c r="S521" s="131"/>
      <c r="T521" s="3"/>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c r="BA521" s="26"/>
    </row>
    <row r="522" spans="1:53" ht="15.75">
      <c r="A522" s="123"/>
      <c r="B522" s="123"/>
      <c r="C522" s="160"/>
      <c r="D522" s="123"/>
      <c r="E522" s="157"/>
      <c r="F522" s="157"/>
      <c r="G522" s="128"/>
      <c r="I522" s="39"/>
      <c r="J522" s="129"/>
      <c r="K522" s="129"/>
      <c r="L522" s="188"/>
      <c r="M522" s="129"/>
      <c r="N522" s="129"/>
      <c r="O522" s="130"/>
      <c r="P522" s="39"/>
      <c r="Q522" s="128"/>
      <c r="R522" s="128"/>
      <c r="S522" s="131"/>
      <c r="T522" s="3"/>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row>
    <row r="523" spans="1:53" ht="15.75">
      <c r="A523" s="123"/>
      <c r="B523" s="123"/>
      <c r="C523" s="160"/>
      <c r="D523" s="123"/>
      <c r="E523" s="157"/>
      <c r="F523" s="157"/>
      <c r="G523" s="128"/>
      <c r="I523" s="39"/>
      <c r="J523" s="129"/>
      <c r="K523" s="129"/>
      <c r="L523" s="188"/>
      <c r="M523" s="129"/>
      <c r="N523" s="129"/>
      <c r="O523" s="130"/>
      <c r="P523" s="39"/>
      <c r="Q523" s="128"/>
      <c r="R523" s="128"/>
      <c r="S523" s="131"/>
      <c r="T523" s="3"/>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row>
    <row r="524" spans="1:53" ht="15.75">
      <c r="A524" s="123"/>
      <c r="B524" s="123"/>
      <c r="C524" s="160"/>
      <c r="D524" s="123"/>
      <c r="E524" s="157"/>
      <c r="F524" s="157"/>
      <c r="G524" s="128"/>
      <c r="I524" s="39"/>
      <c r="J524" s="129"/>
      <c r="K524" s="129"/>
      <c r="L524" s="188"/>
      <c r="M524" s="129"/>
      <c r="N524" s="129"/>
      <c r="O524" s="130"/>
      <c r="P524" s="39"/>
      <c r="Q524" s="128"/>
      <c r="R524" s="128"/>
      <c r="S524" s="131"/>
      <c r="T524" s="3"/>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row>
    <row r="525" spans="1:53" ht="15.75">
      <c r="A525" s="123"/>
      <c r="B525" s="123"/>
      <c r="C525" s="160"/>
      <c r="D525" s="123"/>
      <c r="E525" s="157"/>
      <c r="F525" s="157"/>
      <c r="G525" s="128"/>
      <c r="I525" s="39"/>
      <c r="J525" s="129"/>
      <c r="K525" s="129"/>
      <c r="L525" s="188"/>
      <c r="M525" s="129"/>
      <c r="N525" s="129"/>
      <c r="O525" s="130"/>
      <c r="P525" s="39"/>
      <c r="Q525" s="128"/>
      <c r="R525" s="128"/>
      <c r="S525" s="131"/>
      <c r="T525" s="3"/>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row>
    <row r="526" spans="1:53" ht="15.75">
      <c r="A526" s="123"/>
      <c r="B526" s="123"/>
      <c r="C526" s="160"/>
      <c r="D526" s="123"/>
      <c r="E526" s="157"/>
      <c r="F526" s="157"/>
      <c r="G526" s="128"/>
      <c r="I526" s="39"/>
      <c r="J526" s="129"/>
      <c r="K526" s="129"/>
      <c r="L526" s="188"/>
      <c r="M526" s="129"/>
      <c r="N526" s="129"/>
      <c r="O526" s="130"/>
      <c r="P526" s="39"/>
      <c r="Q526" s="128"/>
      <c r="R526" s="128"/>
      <c r="S526" s="131"/>
      <c r="T526" s="3"/>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row>
    <row r="527" spans="1:53" ht="15.75">
      <c r="A527" s="123"/>
      <c r="B527" s="123"/>
      <c r="C527" s="160"/>
      <c r="D527" s="123"/>
      <c r="E527" s="157"/>
      <c r="F527" s="157"/>
      <c r="G527" s="128"/>
      <c r="I527" s="39"/>
      <c r="J527" s="129"/>
      <c r="K527" s="129"/>
      <c r="L527" s="188"/>
      <c r="M527" s="129"/>
      <c r="N527" s="129"/>
      <c r="O527" s="130"/>
      <c r="P527" s="39"/>
      <c r="Q527" s="128"/>
      <c r="R527" s="128"/>
      <c r="S527" s="131"/>
      <c r="T527" s="3"/>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row>
    <row r="528" spans="1:53" ht="15.75">
      <c r="A528" s="123"/>
      <c r="B528" s="123"/>
      <c r="C528" s="160"/>
      <c r="D528" s="123"/>
      <c r="E528" s="157"/>
      <c r="F528" s="157"/>
      <c r="G528" s="128"/>
      <c r="I528" s="39"/>
      <c r="J528" s="129"/>
      <c r="K528" s="129"/>
      <c r="L528" s="188"/>
      <c r="M528" s="129"/>
      <c r="N528" s="129"/>
      <c r="O528" s="130"/>
      <c r="P528" s="39"/>
      <c r="Q528" s="128"/>
      <c r="R528" s="128"/>
      <c r="S528" s="131"/>
      <c r="T528" s="3"/>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row>
    <row r="529" spans="1:53" ht="15.75">
      <c r="A529" s="123"/>
      <c r="B529" s="123"/>
      <c r="C529" s="160"/>
      <c r="D529" s="123"/>
      <c r="E529" s="157"/>
      <c r="F529" s="157"/>
      <c r="G529" s="128"/>
      <c r="I529" s="39"/>
      <c r="J529" s="129"/>
      <c r="K529" s="129"/>
      <c r="L529" s="188"/>
      <c r="M529" s="129"/>
      <c r="N529" s="129"/>
      <c r="O529" s="130"/>
      <c r="P529" s="39"/>
      <c r="Q529" s="128"/>
      <c r="R529" s="128"/>
      <c r="S529" s="131"/>
      <c r="T529" s="3"/>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row>
    <row r="530" spans="1:53" ht="15.75">
      <c r="A530" s="123"/>
      <c r="B530" s="123"/>
      <c r="C530" s="160"/>
      <c r="D530" s="123"/>
      <c r="E530" s="157"/>
      <c r="F530" s="157"/>
      <c r="G530" s="128"/>
      <c r="I530" s="39"/>
      <c r="J530" s="129"/>
      <c r="K530" s="129"/>
      <c r="L530" s="188"/>
      <c r="M530" s="129"/>
      <c r="N530" s="129"/>
      <c r="O530" s="130"/>
      <c r="P530" s="39"/>
      <c r="Q530" s="128"/>
      <c r="R530" s="128"/>
      <c r="S530" s="131"/>
      <c r="T530" s="3"/>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row>
    <row r="531" spans="1:53" ht="15.75">
      <c r="A531" s="26"/>
      <c r="B531" s="26"/>
      <c r="C531" s="26"/>
      <c r="D531" s="26"/>
      <c r="E531" s="26"/>
      <c r="F531" s="26"/>
      <c r="G531" s="26"/>
      <c r="H531" s="26"/>
      <c r="I531" s="26"/>
      <c r="J531" s="26"/>
      <c r="K531" s="26"/>
      <c r="L531" s="193"/>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row>
    <row r="532" spans="1:53" ht="15.75">
      <c r="A532" s="123"/>
      <c r="B532" s="123"/>
      <c r="C532" s="160"/>
      <c r="D532" s="123"/>
      <c r="E532" s="157"/>
      <c r="F532" s="157"/>
      <c r="G532" s="128"/>
      <c r="I532" s="39"/>
      <c r="J532" s="129"/>
      <c r="K532" s="129"/>
      <c r="L532" s="188"/>
      <c r="M532" s="129"/>
      <c r="N532" s="129"/>
      <c r="O532" s="130"/>
      <c r="P532" s="39"/>
      <c r="Q532" s="128"/>
      <c r="R532" s="128"/>
      <c r="S532" s="131"/>
      <c r="T532" s="3"/>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row>
    <row r="533" spans="1:53" ht="15.75">
      <c r="A533" s="123"/>
      <c r="B533" s="123"/>
      <c r="C533" s="160"/>
      <c r="D533" s="123"/>
      <c r="E533" s="157"/>
      <c r="F533" s="157"/>
      <c r="G533" s="128"/>
      <c r="I533" s="39"/>
      <c r="J533" s="129"/>
      <c r="K533" s="129"/>
      <c r="L533" s="188"/>
      <c r="M533" s="129"/>
      <c r="N533" s="129"/>
      <c r="O533" s="130"/>
      <c r="P533" s="39"/>
      <c r="Q533" s="128"/>
      <c r="R533" s="128"/>
      <c r="S533" s="131"/>
      <c r="T533" s="3"/>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row>
    <row r="534" spans="1:53" ht="15.75">
      <c r="A534" s="123"/>
      <c r="B534" s="123"/>
      <c r="C534" s="160"/>
      <c r="D534" s="123"/>
      <c r="E534" s="157"/>
      <c r="F534" s="157"/>
      <c r="G534" s="128"/>
      <c r="I534" s="39"/>
      <c r="J534" s="129"/>
      <c r="K534" s="129"/>
      <c r="L534" s="188"/>
      <c r="M534" s="129"/>
      <c r="N534" s="129"/>
      <c r="O534" s="130"/>
      <c r="P534" s="39"/>
      <c r="Q534" s="128"/>
      <c r="R534" s="128"/>
      <c r="S534" s="131"/>
      <c r="T534" s="3"/>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row>
    <row r="535" spans="1:53" ht="15.75">
      <c r="A535" s="123"/>
      <c r="B535" s="123"/>
      <c r="C535" s="160"/>
      <c r="D535" s="123"/>
      <c r="E535" s="157"/>
      <c r="F535" s="157"/>
      <c r="G535" s="128"/>
      <c r="I535" s="39"/>
      <c r="J535" s="129"/>
      <c r="K535" s="129"/>
      <c r="L535" s="188"/>
      <c r="M535" s="129"/>
      <c r="N535" s="129"/>
      <c r="O535" s="130"/>
      <c r="P535" s="39"/>
      <c r="Q535" s="128"/>
      <c r="R535" s="128"/>
      <c r="S535" s="131"/>
      <c r="T535" s="3"/>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row>
    <row r="536" spans="1:53" ht="15.75">
      <c r="A536" s="123"/>
      <c r="B536" s="123"/>
      <c r="C536" s="160"/>
      <c r="D536" s="123"/>
      <c r="E536" s="157"/>
      <c r="F536" s="157"/>
      <c r="G536" s="128"/>
      <c r="I536" s="39"/>
      <c r="J536" s="129"/>
      <c r="K536" s="129"/>
      <c r="L536" s="188"/>
      <c r="M536" s="129"/>
      <c r="N536" s="129"/>
      <c r="O536" s="130"/>
      <c r="P536" s="39"/>
      <c r="Q536" s="128"/>
      <c r="R536" s="128"/>
      <c r="S536" s="131"/>
      <c r="T536" s="3"/>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row>
    <row r="537" spans="1:53" ht="15.75">
      <c r="A537" s="123"/>
      <c r="B537" s="123"/>
      <c r="C537" s="160"/>
      <c r="D537" s="123"/>
      <c r="E537" s="157"/>
      <c r="F537" s="157"/>
      <c r="G537" s="128"/>
      <c r="I537" s="39"/>
      <c r="J537" s="129"/>
      <c r="K537" s="129"/>
      <c r="L537" s="188"/>
      <c r="M537" s="129"/>
      <c r="N537" s="129"/>
      <c r="O537" s="130"/>
      <c r="P537" s="39"/>
      <c r="Q537" s="128"/>
      <c r="R537" s="128"/>
      <c r="S537" s="131"/>
      <c r="T537" s="3"/>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c r="BA537" s="26"/>
    </row>
    <row r="538" spans="1:53" ht="15.75">
      <c r="A538" s="123"/>
      <c r="B538" s="123"/>
      <c r="C538" s="160"/>
      <c r="D538" s="123"/>
      <c r="E538" s="157"/>
      <c r="F538" s="157"/>
      <c r="G538" s="128"/>
      <c r="I538" s="39"/>
      <c r="J538" s="129"/>
      <c r="K538" s="129"/>
      <c r="L538" s="188"/>
      <c r="M538" s="129"/>
      <c r="N538" s="129"/>
      <c r="O538" s="130"/>
      <c r="P538" s="39"/>
      <c r="Q538" s="128"/>
      <c r="R538" s="128"/>
      <c r="S538" s="131"/>
      <c r="T538" s="3"/>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c r="BA538" s="26"/>
    </row>
    <row r="539" spans="1:53" ht="15.75">
      <c r="A539" s="123"/>
      <c r="B539" s="123"/>
      <c r="C539" s="160"/>
      <c r="D539" s="123"/>
      <c r="E539" s="157"/>
      <c r="F539" s="157"/>
      <c r="G539" s="128"/>
      <c r="I539" s="39"/>
      <c r="J539" s="129"/>
      <c r="K539" s="129"/>
      <c r="L539" s="188"/>
      <c r="M539" s="129"/>
      <c r="N539" s="129"/>
      <c r="O539" s="130"/>
      <c r="P539" s="39"/>
      <c r="Q539" s="128"/>
      <c r="R539" s="128"/>
      <c r="S539" s="131"/>
      <c r="T539" s="3"/>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c r="BA539" s="26"/>
    </row>
    <row r="540" spans="1:53" ht="15.75">
      <c r="A540" s="123"/>
      <c r="B540" s="123"/>
      <c r="C540" s="160"/>
      <c r="D540" s="123"/>
      <c r="E540" s="157"/>
      <c r="F540" s="157"/>
      <c r="G540" s="128"/>
      <c r="I540" s="39"/>
      <c r="J540" s="129"/>
      <c r="K540" s="129"/>
      <c r="L540" s="188"/>
      <c r="M540" s="129"/>
      <c r="N540" s="129"/>
      <c r="O540" s="130"/>
      <c r="P540" s="39"/>
      <c r="Q540" s="128"/>
      <c r="R540" s="128"/>
      <c r="S540" s="131"/>
      <c r="T540" s="3"/>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c r="BA540" s="26"/>
    </row>
    <row r="541" spans="1:53" ht="15.75">
      <c r="A541" s="123"/>
      <c r="B541" s="123"/>
      <c r="C541" s="160"/>
      <c r="D541" s="123"/>
      <c r="E541" s="157"/>
      <c r="F541" s="157"/>
      <c r="G541" s="128"/>
      <c r="I541" s="39"/>
      <c r="J541" s="129"/>
      <c r="K541" s="129"/>
      <c r="L541" s="188"/>
      <c r="M541" s="129"/>
      <c r="N541" s="129"/>
      <c r="O541" s="130"/>
      <c r="P541" s="39"/>
      <c r="Q541" s="128"/>
      <c r="R541" s="128"/>
      <c r="S541" s="131"/>
      <c r="T541" s="3"/>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c r="BA541" s="26"/>
    </row>
    <row r="542" spans="1:53" ht="15.75">
      <c r="A542" s="123"/>
      <c r="B542" s="123"/>
      <c r="C542" s="160"/>
      <c r="D542" s="123"/>
      <c r="E542" s="157"/>
      <c r="F542" s="157"/>
      <c r="G542" s="128"/>
      <c r="I542" s="39"/>
      <c r="J542" s="129"/>
      <c r="K542" s="129"/>
      <c r="L542" s="188"/>
      <c r="M542" s="129"/>
      <c r="N542" s="129"/>
      <c r="O542" s="130"/>
      <c r="P542" s="39"/>
      <c r="Q542" s="128"/>
      <c r="R542" s="128"/>
      <c r="S542" s="131"/>
      <c r="T542" s="3"/>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c r="BA542" s="26"/>
    </row>
    <row r="543" spans="1:53" ht="15.75">
      <c r="A543" s="123"/>
      <c r="B543" s="123"/>
      <c r="C543" s="160"/>
      <c r="D543" s="123"/>
      <c r="E543" s="157"/>
      <c r="F543" s="157"/>
      <c r="G543" s="128"/>
      <c r="I543" s="39"/>
      <c r="J543" s="129"/>
      <c r="K543" s="129"/>
      <c r="L543" s="188"/>
      <c r="M543" s="129"/>
      <c r="N543" s="129"/>
      <c r="O543" s="130"/>
      <c r="P543" s="39"/>
      <c r="Q543" s="128"/>
      <c r="R543" s="128"/>
      <c r="S543" s="131"/>
      <c r="T543" s="3"/>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c r="BA543" s="26"/>
    </row>
    <row r="544" spans="1:53" ht="15.75">
      <c r="A544" s="123"/>
      <c r="B544" s="123"/>
      <c r="C544" s="160"/>
      <c r="D544" s="123"/>
      <c r="E544" s="157"/>
      <c r="F544" s="157"/>
      <c r="G544" s="128"/>
      <c r="I544" s="39"/>
      <c r="J544" s="129"/>
      <c r="K544" s="129"/>
      <c r="L544" s="188"/>
      <c r="M544" s="129"/>
      <c r="N544" s="129"/>
      <c r="O544" s="130"/>
      <c r="P544" s="39"/>
      <c r="Q544" s="128"/>
      <c r="R544" s="128"/>
      <c r="S544" s="131"/>
      <c r="T544" s="3"/>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c r="BA544" s="26"/>
    </row>
    <row r="545" spans="1:53" ht="15.75">
      <c r="A545" s="123"/>
      <c r="B545" s="123"/>
      <c r="C545" s="160"/>
      <c r="D545" s="123"/>
      <c r="E545" s="157"/>
      <c r="F545" s="157"/>
      <c r="G545" s="128"/>
      <c r="I545" s="39"/>
      <c r="J545" s="129"/>
      <c r="K545" s="129"/>
      <c r="L545" s="188"/>
      <c r="M545" s="129"/>
      <c r="N545" s="129"/>
      <c r="O545" s="130"/>
      <c r="P545" s="39"/>
      <c r="Q545" s="128"/>
      <c r="R545" s="128"/>
      <c r="S545" s="131"/>
      <c r="T545" s="3"/>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c r="BA545" s="26"/>
    </row>
    <row r="546" spans="1:53" ht="15.75">
      <c r="A546" s="123"/>
      <c r="B546" s="123"/>
      <c r="C546" s="160"/>
      <c r="D546" s="123"/>
      <c r="E546" s="157"/>
      <c r="F546" s="157"/>
      <c r="G546" s="128"/>
      <c r="I546" s="39"/>
      <c r="J546" s="129"/>
      <c r="K546" s="129"/>
      <c r="L546" s="188"/>
      <c r="M546" s="129"/>
      <c r="N546" s="129"/>
      <c r="O546" s="130"/>
      <c r="P546" s="39"/>
      <c r="Q546" s="128"/>
      <c r="R546" s="128"/>
      <c r="S546" s="131"/>
      <c r="T546" s="3"/>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row>
    <row r="547" spans="1:53" ht="15.75">
      <c r="A547" s="123"/>
      <c r="B547" s="123"/>
      <c r="C547" s="160"/>
      <c r="D547" s="123"/>
      <c r="E547" s="157"/>
      <c r="F547" s="157"/>
      <c r="G547" s="128"/>
      <c r="I547" s="39"/>
      <c r="J547" s="129"/>
      <c r="K547" s="129"/>
      <c r="L547" s="188"/>
      <c r="M547" s="129"/>
      <c r="N547" s="129"/>
      <c r="O547" s="130"/>
      <c r="P547" s="39"/>
      <c r="Q547" s="128"/>
      <c r="R547" s="128"/>
      <c r="S547" s="131"/>
      <c r="T547" s="3"/>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row>
    <row r="548" spans="1:53" ht="15.75">
      <c r="A548" s="123"/>
      <c r="B548" s="123"/>
      <c r="C548" s="160"/>
      <c r="D548" s="123"/>
      <c r="E548" s="157"/>
      <c r="F548" s="157"/>
      <c r="G548" s="128"/>
      <c r="I548" s="39"/>
      <c r="J548" s="129"/>
      <c r="K548" s="129"/>
      <c r="L548" s="188"/>
      <c r="M548" s="129"/>
      <c r="N548" s="129"/>
      <c r="O548" s="130"/>
      <c r="P548" s="39"/>
      <c r="Q548" s="128"/>
      <c r="R548" s="128"/>
      <c r="S548" s="131"/>
      <c r="T548" s="3"/>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row>
    <row r="549" spans="1:53" ht="15.75">
      <c r="A549" s="123"/>
      <c r="B549" s="123"/>
      <c r="C549" s="160"/>
      <c r="D549" s="123"/>
      <c r="E549" s="157"/>
      <c r="F549" s="157"/>
      <c r="G549" s="128"/>
      <c r="I549" s="39"/>
      <c r="J549" s="129"/>
      <c r="K549" s="129"/>
      <c r="L549" s="188"/>
      <c r="M549" s="129"/>
      <c r="N549" s="129"/>
      <c r="O549" s="130"/>
      <c r="P549" s="39"/>
      <c r="Q549" s="128"/>
      <c r="R549" s="128"/>
      <c r="S549" s="131"/>
      <c r="T549" s="3"/>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row>
    <row r="550" spans="1:53" ht="15.75">
      <c r="A550" s="123"/>
      <c r="B550" s="123"/>
      <c r="C550" s="160"/>
      <c r="D550" s="123"/>
      <c r="E550" s="157"/>
      <c r="F550" s="157"/>
      <c r="G550" s="128"/>
      <c r="I550" s="39"/>
      <c r="J550" s="129"/>
      <c r="K550" s="129"/>
      <c r="L550" s="188"/>
      <c r="M550" s="129"/>
      <c r="N550" s="129"/>
      <c r="O550" s="130"/>
      <c r="P550" s="39"/>
      <c r="Q550" s="128"/>
      <c r="R550" s="128"/>
      <c r="S550" s="131"/>
      <c r="T550" s="3"/>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row>
    <row r="551" spans="1:53" ht="15.75">
      <c r="A551" s="123"/>
      <c r="B551" s="123"/>
      <c r="C551" s="160"/>
      <c r="D551" s="123"/>
      <c r="E551" s="157"/>
      <c r="F551" s="157"/>
      <c r="G551" s="128"/>
      <c r="I551" s="39"/>
      <c r="J551" s="129"/>
      <c r="K551" s="129"/>
      <c r="L551" s="188"/>
      <c r="M551" s="129"/>
      <c r="N551" s="129"/>
      <c r="O551" s="130"/>
      <c r="P551" s="39"/>
      <c r="Q551" s="128"/>
      <c r="R551" s="128"/>
      <c r="S551" s="131"/>
      <c r="T551" s="3"/>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row>
    <row r="552" spans="1:53" ht="15.75">
      <c r="A552" s="123"/>
      <c r="B552" s="123"/>
      <c r="C552" s="160"/>
      <c r="D552" s="123"/>
      <c r="E552" s="157"/>
      <c r="F552" s="157"/>
      <c r="G552" s="128"/>
      <c r="I552" s="39"/>
      <c r="J552" s="129"/>
      <c r="K552" s="129"/>
      <c r="L552" s="188"/>
      <c r="M552" s="129"/>
      <c r="N552" s="129"/>
      <c r="O552" s="130"/>
      <c r="P552" s="39"/>
      <c r="Q552" s="128"/>
      <c r="R552" s="128"/>
      <c r="S552" s="131"/>
      <c r="T552" s="3"/>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row>
    <row r="553" spans="1:53" ht="15.75">
      <c r="A553" s="123"/>
      <c r="B553" s="123"/>
      <c r="C553" s="160"/>
      <c r="D553" s="123"/>
      <c r="E553" s="157"/>
      <c r="F553" s="157"/>
      <c r="G553" s="128"/>
      <c r="I553" s="39"/>
      <c r="J553" s="129"/>
      <c r="K553" s="129"/>
      <c r="L553" s="188"/>
      <c r="M553" s="129"/>
      <c r="N553" s="129"/>
      <c r="O553" s="130"/>
      <c r="P553" s="39"/>
      <c r="Q553" s="128"/>
      <c r="R553" s="128"/>
      <c r="S553" s="131"/>
      <c r="T553" s="3"/>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row>
    <row r="554" spans="1:53" ht="15.75">
      <c r="A554" s="123"/>
      <c r="B554" s="123"/>
      <c r="C554" s="160"/>
      <c r="D554" s="123"/>
      <c r="E554" s="157"/>
      <c r="F554" s="157"/>
      <c r="G554" s="128"/>
      <c r="I554" s="39"/>
      <c r="J554" s="129"/>
      <c r="K554" s="129"/>
      <c r="L554" s="188"/>
      <c r="M554" s="129"/>
      <c r="N554" s="129"/>
      <c r="O554" s="130"/>
      <c r="P554" s="39"/>
      <c r="Q554" s="128"/>
      <c r="R554" s="128"/>
      <c r="S554" s="131"/>
      <c r="T554" s="3"/>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row>
    <row r="555" spans="1:53" ht="15.75">
      <c r="A555" s="123"/>
      <c r="B555" s="123"/>
      <c r="C555" s="160"/>
      <c r="D555" s="123"/>
      <c r="E555" s="157"/>
      <c r="F555" s="157"/>
      <c r="G555" s="128"/>
      <c r="I555" s="39"/>
      <c r="J555" s="129"/>
      <c r="K555" s="129"/>
      <c r="L555" s="188"/>
      <c r="M555" s="129"/>
      <c r="N555" s="129"/>
      <c r="O555" s="130"/>
      <c r="P555" s="39"/>
      <c r="Q555" s="128"/>
      <c r="R555" s="128"/>
      <c r="S555" s="131"/>
      <c r="T555" s="3"/>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row>
    <row r="556" spans="1:53" ht="15.75">
      <c r="A556" s="123"/>
      <c r="B556" s="123"/>
      <c r="C556" s="160"/>
      <c r="D556" s="123"/>
      <c r="E556" s="157"/>
      <c r="F556" s="157"/>
      <c r="G556" s="128"/>
      <c r="I556" s="39"/>
      <c r="J556" s="129"/>
      <c r="K556" s="129"/>
      <c r="L556" s="188"/>
      <c r="M556" s="129"/>
      <c r="N556" s="129"/>
      <c r="O556" s="130"/>
      <c r="P556" s="39"/>
      <c r="Q556" s="128"/>
      <c r="R556" s="128"/>
      <c r="S556" s="131"/>
      <c r="T556" s="3"/>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row>
    <row r="557" spans="1:53" ht="15.75">
      <c r="A557" s="123"/>
      <c r="B557" s="123"/>
      <c r="C557" s="160"/>
      <c r="D557" s="123"/>
      <c r="E557" s="157"/>
      <c r="F557" s="157"/>
      <c r="G557" s="128"/>
      <c r="I557" s="39"/>
      <c r="J557" s="129"/>
      <c r="K557" s="129"/>
      <c r="L557" s="188"/>
      <c r="M557" s="129"/>
      <c r="N557" s="129"/>
      <c r="O557" s="130"/>
      <c r="P557" s="39"/>
      <c r="Q557" s="128"/>
      <c r="R557" s="128"/>
      <c r="S557" s="131"/>
      <c r="T557" s="3"/>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row>
    <row r="558" spans="1:53" ht="15.75">
      <c r="A558" s="123"/>
      <c r="B558" s="123"/>
      <c r="C558" s="160"/>
      <c r="D558" s="123"/>
      <c r="E558" s="157"/>
      <c r="F558" s="157"/>
      <c r="G558" s="128"/>
      <c r="I558" s="39"/>
      <c r="J558" s="129"/>
      <c r="K558" s="129"/>
      <c r="L558" s="188"/>
      <c r="M558" s="129"/>
      <c r="N558" s="129"/>
      <c r="O558" s="130"/>
      <c r="P558" s="39"/>
      <c r="Q558" s="128"/>
      <c r="R558" s="128"/>
      <c r="S558" s="131"/>
      <c r="T558" s="3"/>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row>
    <row r="559" spans="1:53" ht="15.75">
      <c r="A559" s="123"/>
      <c r="B559" s="123"/>
      <c r="C559" s="160"/>
      <c r="D559" s="123"/>
      <c r="E559" s="157"/>
      <c r="F559" s="157"/>
      <c r="G559" s="128"/>
      <c r="I559" s="39"/>
      <c r="J559" s="129"/>
      <c r="K559" s="129"/>
      <c r="L559" s="188"/>
      <c r="M559" s="129"/>
      <c r="N559" s="129"/>
      <c r="O559" s="130"/>
      <c r="P559" s="39"/>
      <c r="Q559" s="128"/>
      <c r="R559" s="128"/>
      <c r="S559" s="131"/>
      <c r="T559" s="3"/>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row>
    <row r="560" spans="1:53" ht="15.75">
      <c r="A560" s="123"/>
      <c r="B560" s="123"/>
      <c r="C560" s="160"/>
      <c r="D560" s="123"/>
      <c r="E560" s="157"/>
      <c r="F560" s="157"/>
      <c r="G560" s="128"/>
      <c r="I560" s="39"/>
      <c r="J560" s="129"/>
      <c r="K560" s="129"/>
      <c r="L560" s="188"/>
      <c r="M560" s="129"/>
      <c r="N560" s="129"/>
      <c r="O560" s="130"/>
      <c r="P560" s="39"/>
      <c r="Q560" s="128"/>
      <c r="R560" s="128"/>
      <c r="S560" s="131"/>
      <c r="T560" s="3"/>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row>
    <row r="561" spans="1:53" ht="15.75">
      <c r="A561" s="123"/>
      <c r="B561" s="123"/>
      <c r="C561" s="160"/>
      <c r="D561" s="123"/>
      <c r="E561" s="157"/>
      <c r="F561" s="157"/>
      <c r="G561" s="128"/>
      <c r="I561" s="39"/>
      <c r="J561" s="129"/>
      <c r="K561" s="129"/>
      <c r="L561" s="188"/>
      <c r="M561" s="129"/>
      <c r="N561" s="129"/>
      <c r="O561" s="130"/>
      <c r="P561" s="39"/>
      <c r="Q561" s="128"/>
      <c r="R561" s="128"/>
      <c r="S561" s="131"/>
      <c r="T561" s="3"/>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row>
    <row r="562" spans="1:53" ht="15.75">
      <c r="A562" s="123"/>
      <c r="B562" s="123"/>
      <c r="C562" s="160"/>
      <c r="D562" s="123"/>
      <c r="E562" s="157"/>
      <c r="F562" s="157"/>
      <c r="G562" s="128"/>
      <c r="I562" s="39"/>
      <c r="J562" s="129"/>
      <c r="K562" s="129"/>
      <c r="L562" s="188"/>
      <c r="M562" s="129"/>
      <c r="N562" s="129"/>
      <c r="O562" s="130"/>
      <c r="P562" s="39"/>
      <c r="Q562" s="128"/>
      <c r="R562" s="128"/>
      <c r="S562" s="131"/>
      <c r="T562" s="3"/>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row>
    <row r="563" spans="1:53" ht="15.75">
      <c r="A563" s="123"/>
      <c r="B563" s="123"/>
      <c r="C563" s="160"/>
      <c r="D563" s="123"/>
      <c r="E563" s="157"/>
      <c r="F563" s="157"/>
      <c r="G563" s="128"/>
      <c r="I563" s="39"/>
      <c r="J563" s="129"/>
      <c r="K563" s="129"/>
      <c r="L563" s="188"/>
      <c r="M563" s="129"/>
      <c r="N563" s="129"/>
      <c r="O563" s="130"/>
      <c r="P563" s="39"/>
      <c r="Q563" s="128"/>
      <c r="R563" s="128"/>
      <c r="S563" s="131"/>
      <c r="T563" s="3"/>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row>
    <row r="564" spans="1:53" ht="15.75">
      <c r="A564" s="123"/>
      <c r="B564" s="123"/>
      <c r="C564" s="160"/>
      <c r="D564" s="123"/>
      <c r="E564" s="157"/>
      <c r="F564" s="157"/>
      <c r="G564" s="128"/>
      <c r="I564" s="39"/>
      <c r="J564" s="129"/>
      <c r="K564" s="129"/>
      <c r="L564" s="188"/>
      <c r="M564" s="129"/>
      <c r="N564" s="129"/>
      <c r="O564" s="130"/>
      <c r="P564" s="39"/>
      <c r="Q564" s="128"/>
      <c r="R564" s="128"/>
      <c r="S564" s="131"/>
      <c r="T564" s="3"/>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row>
    <row r="565" spans="1:53" ht="15.75">
      <c r="A565" s="123"/>
      <c r="B565" s="123"/>
      <c r="C565" s="160"/>
      <c r="D565" s="123"/>
      <c r="E565" s="157"/>
      <c r="F565" s="157"/>
      <c r="G565" s="128"/>
      <c r="I565" s="39"/>
      <c r="J565" s="129"/>
      <c r="K565" s="129"/>
      <c r="L565" s="188"/>
      <c r="M565" s="129"/>
      <c r="N565" s="129"/>
      <c r="O565" s="130"/>
      <c r="P565" s="39"/>
      <c r="Q565" s="128"/>
      <c r="R565" s="128"/>
      <c r="S565" s="131"/>
      <c r="T565" s="3"/>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row>
    <row r="566" spans="1:53" ht="15.75">
      <c r="A566" s="123"/>
      <c r="B566" s="123"/>
      <c r="C566" s="160"/>
      <c r="D566" s="123"/>
      <c r="E566" s="157"/>
      <c r="F566" s="157"/>
      <c r="G566" s="128"/>
      <c r="I566" s="39"/>
      <c r="J566" s="129"/>
      <c r="K566" s="129"/>
      <c r="L566" s="188"/>
      <c r="M566" s="129"/>
      <c r="N566" s="129"/>
      <c r="O566" s="130"/>
      <c r="P566" s="39"/>
      <c r="Q566" s="128"/>
      <c r="R566" s="128"/>
      <c r="S566" s="131"/>
      <c r="T566" s="3"/>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row>
    <row r="567" spans="1:53" ht="15.75">
      <c r="A567" s="123"/>
      <c r="B567" s="123"/>
      <c r="C567" s="160"/>
      <c r="D567" s="123"/>
      <c r="E567" s="157"/>
      <c r="F567" s="157"/>
      <c r="G567" s="128"/>
      <c r="I567" s="39"/>
      <c r="J567" s="129"/>
      <c r="K567" s="129"/>
      <c r="L567" s="188"/>
      <c r="M567" s="129"/>
      <c r="N567" s="129"/>
      <c r="O567" s="130"/>
      <c r="P567" s="39"/>
      <c r="Q567" s="128"/>
      <c r="R567" s="128"/>
      <c r="S567" s="131"/>
      <c r="T567" s="3"/>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row>
    <row r="568" spans="1:53" ht="15.75">
      <c r="A568" s="123"/>
      <c r="B568" s="123"/>
      <c r="C568" s="160"/>
      <c r="D568" s="123"/>
      <c r="E568" s="157"/>
      <c r="F568" s="157"/>
      <c r="G568" s="128"/>
      <c r="I568" s="39"/>
      <c r="J568" s="129"/>
      <c r="K568" s="129"/>
      <c r="L568" s="188"/>
      <c r="M568" s="129"/>
      <c r="N568" s="129"/>
      <c r="O568" s="130"/>
      <c r="P568" s="39"/>
      <c r="Q568" s="128"/>
      <c r="R568" s="128"/>
      <c r="S568" s="131"/>
      <c r="T568" s="3"/>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row>
    <row r="569" spans="1:53" ht="15.75">
      <c r="A569" s="123"/>
      <c r="B569" s="123"/>
      <c r="C569" s="160"/>
      <c r="D569" s="123"/>
      <c r="E569" s="157"/>
      <c r="F569" s="157"/>
      <c r="G569" s="128"/>
      <c r="I569" s="39"/>
      <c r="J569" s="129"/>
      <c r="K569" s="129"/>
      <c r="L569" s="188"/>
      <c r="M569" s="129"/>
      <c r="N569" s="129"/>
      <c r="O569" s="130"/>
      <c r="P569" s="39"/>
      <c r="Q569" s="128"/>
      <c r="R569" s="128"/>
      <c r="S569" s="131"/>
      <c r="T569" s="3"/>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row>
    <row r="570" spans="1:53" ht="15.75">
      <c r="A570" s="123"/>
      <c r="B570" s="123"/>
      <c r="C570" s="160"/>
      <c r="D570" s="123"/>
      <c r="E570" s="157"/>
      <c r="F570" s="157"/>
      <c r="G570" s="128"/>
      <c r="I570" s="39"/>
      <c r="J570" s="129"/>
      <c r="K570" s="129"/>
      <c r="L570" s="188"/>
      <c r="M570" s="129"/>
      <c r="N570" s="129"/>
      <c r="O570" s="130"/>
      <c r="P570" s="39"/>
      <c r="Q570" s="128"/>
      <c r="R570" s="128"/>
      <c r="S570" s="131"/>
      <c r="T570" s="3"/>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row>
    <row r="571" spans="1:53" ht="15.75">
      <c r="A571" s="123"/>
      <c r="B571" s="123"/>
      <c r="C571" s="160"/>
      <c r="D571" s="123"/>
      <c r="E571" s="157"/>
      <c r="F571" s="157"/>
      <c r="G571" s="128"/>
      <c r="I571" s="39"/>
      <c r="J571" s="129"/>
      <c r="K571" s="129"/>
      <c r="L571" s="188"/>
      <c r="M571" s="129"/>
      <c r="N571" s="129"/>
      <c r="O571" s="130"/>
      <c r="P571" s="39"/>
      <c r="Q571" s="128"/>
      <c r="R571" s="128"/>
      <c r="S571" s="131"/>
      <c r="T571" s="3"/>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row>
    <row r="572" spans="1:53" ht="15.75">
      <c r="A572" s="26"/>
      <c r="B572" s="26"/>
      <c r="C572" s="26"/>
      <c r="D572" s="26"/>
      <c r="E572" s="26"/>
      <c r="F572" s="26"/>
      <c r="G572" s="26"/>
      <c r="H572" s="26"/>
      <c r="I572" s="26"/>
      <c r="J572" s="26"/>
      <c r="K572" s="26"/>
      <c r="L572" s="193"/>
      <c r="M572" s="26"/>
      <c r="N572" s="26"/>
      <c r="O572" s="26"/>
      <c r="P572" s="39"/>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row>
    <row r="573" spans="1:53" ht="15.75">
      <c r="A573" s="123"/>
      <c r="B573" s="123"/>
      <c r="C573" s="160"/>
      <c r="D573" s="123"/>
      <c r="E573" s="157"/>
      <c r="F573" s="157"/>
      <c r="G573" s="128"/>
      <c r="I573" s="39"/>
      <c r="J573" s="129"/>
      <c r="K573" s="129"/>
      <c r="L573" s="188"/>
      <c r="M573" s="129"/>
      <c r="N573" s="129"/>
      <c r="O573" s="130"/>
      <c r="P573" s="39"/>
      <c r="Q573" s="128"/>
      <c r="R573" s="128"/>
      <c r="S573" s="131"/>
      <c r="T573" s="3"/>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row>
    <row r="574" spans="1:53" ht="15.75">
      <c r="A574" s="123"/>
      <c r="B574" s="123"/>
      <c r="C574" s="160"/>
      <c r="D574" s="123"/>
      <c r="E574" s="157"/>
      <c r="F574" s="157"/>
      <c r="G574" s="128"/>
      <c r="I574" s="39"/>
      <c r="J574" s="129"/>
      <c r="K574" s="129"/>
      <c r="L574" s="188"/>
      <c r="M574" s="129"/>
      <c r="N574" s="129"/>
      <c r="O574" s="130"/>
      <c r="P574" s="39"/>
      <c r="Q574" s="128"/>
      <c r="R574" s="128"/>
      <c r="S574" s="131"/>
      <c r="T574" s="3"/>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row>
    <row r="575" spans="1:53" ht="15.75">
      <c r="A575" s="123"/>
      <c r="B575" s="123"/>
      <c r="C575" s="160"/>
      <c r="D575" s="123"/>
      <c r="E575" s="157"/>
      <c r="F575" s="157"/>
      <c r="G575" s="128"/>
      <c r="I575" s="39"/>
      <c r="J575" s="129"/>
      <c r="K575" s="129"/>
      <c r="L575" s="188"/>
      <c r="M575" s="129"/>
      <c r="N575" s="129"/>
      <c r="O575" s="130"/>
      <c r="P575" s="39"/>
      <c r="Q575" s="128"/>
      <c r="R575" s="128"/>
      <c r="S575" s="131"/>
      <c r="T575" s="3"/>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row>
    <row r="576" spans="1:53" ht="15.75">
      <c r="A576" s="123"/>
      <c r="B576" s="123"/>
      <c r="C576" s="160"/>
      <c r="D576" s="123"/>
      <c r="E576" s="157"/>
      <c r="F576" s="157"/>
      <c r="G576" s="128"/>
      <c r="I576" s="39"/>
      <c r="J576" s="129"/>
      <c r="K576" s="129"/>
      <c r="L576" s="188"/>
      <c r="M576" s="129"/>
      <c r="N576" s="129"/>
      <c r="O576" s="130"/>
      <c r="P576" s="39"/>
      <c r="Q576" s="128"/>
      <c r="R576" s="128"/>
      <c r="S576" s="131"/>
      <c r="T576" s="3"/>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row>
    <row r="577" spans="1:53" ht="15.75">
      <c r="A577" s="123"/>
      <c r="B577" s="123"/>
      <c r="C577" s="160"/>
      <c r="D577" s="123"/>
      <c r="E577" s="157"/>
      <c r="F577" s="157"/>
      <c r="G577" s="128"/>
      <c r="I577" s="39"/>
      <c r="J577" s="129"/>
      <c r="K577" s="129"/>
      <c r="L577" s="188"/>
      <c r="M577" s="129"/>
      <c r="N577" s="129"/>
      <c r="O577" s="130"/>
      <c r="P577" s="39"/>
      <c r="Q577" s="128"/>
      <c r="R577" s="128"/>
      <c r="S577" s="131"/>
      <c r="T577" s="3"/>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row>
    <row r="578" spans="1:53" ht="15.75">
      <c r="A578" s="123"/>
      <c r="B578" s="123"/>
      <c r="C578" s="160"/>
      <c r="D578" s="123"/>
      <c r="E578" s="157"/>
      <c r="F578" s="157"/>
      <c r="G578" s="128"/>
      <c r="I578" s="39"/>
      <c r="J578" s="129"/>
      <c r="K578" s="129"/>
      <c r="L578" s="188"/>
      <c r="M578" s="129"/>
      <c r="N578" s="129"/>
      <c r="O578" s="130"/>
      <c r="P578" s="39"/>
      <c r="Q578" s="128"/>
      <c r="R578" s="128"/>
      <c r="S578" s="131"/>
      <c r="T578" s="3"/>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row>
    <row r="579" spans="1:19" ht="15.75">
      <c r="A579" s="123"/>
      <c r="B579" s="123"/>
      <c r="C579" s="160"/>
      <c r="D579" s="123"/>
      <c r="E579" s="157"/>
      <c r="F579" s="157"/>
      <c r="G579" s="128"/>
      <c r="I579" s="39"/>
      <c r="J579" s="129"/>
      <c r="K579" s="129"/>
      <c r="L579" s="188"/>
      <c r="M579" s="129"/>
      <c r="N579" s="129"/>
      <c r="O579" s="130"/>
      <c r="P579" s="39"/>
      <c r="Q579" s="128"/>
      <c r="R579" s="128"/>
      <c r="S579" s="131"/>
    </row>
    <row r="580" spans="1:19" ht="15.75">
      <c r="A580" s="123"/>
      <c r="B580" s="123"/>
      <c r="C580" s="160"/>
      <c r="D580" s="123"/>
      <c r="E580" s="157"/>
      <c r="F580" s="157"/>
      <c r="G580" s="128"/>
      <c r="I580" s="39"/>
      <c r="J580" s="129"/>
      <c r="K580" s="129"/>
      <c r="L580" s="188"/>
      <c r="M580" s="129"/>
      <c r="N580" s="129"/>
      <c r="O580" s="130"/>
      <c r="P580" s="39"/>
      <c r="Q580" s="128"/>
      <c r="R580" s="128"/>
      <c r="S580" s="131"/>
    </row>
    <row r="581" spans="1:19" ht="15.75">
      <c r="A581" s="123"/>
      <c r="B581" s="123"/>
      <c r="C581" s="160"/>
      <c r="D581" s="123"/>
      <c r="E581" s="157"/>
      <c r="F581" s="157"/>
      <c r="G581" s="128"/>
      <c r="I581" s="39"/>
      <c r="J581" s="129"/>
      <c r="K581" s="129"/>
      <c r="L581" s="188"/>
      <c r="M581" s="129"/>
      <c r="N581" s="129"/>
      <c r="O581" s="130"/>
      <c r="P581" s="39"/>
      <c r="Q581" s="128"/>
      <c r="R581" s="128"/>
      <c r="S581" s="131"/>
    </row>
    <row r="582" spans="1:19" ht="15.75">
      <c r="A582" s="123"/>
      <c r="B582" s="123"/>
      <c r="C582" s="160"/>
      <c r="D582" s="123"/>
      <c r="E582" s="157"/>
      <c r="F582" s="157"/>
      <c r="G582" s="128"/>
      <c r="I582" s="39"/>
      <c r="J582" s="129"/>
      <c r="K582" s="129"/>
      <c r="L582" s="188"/>
      <c r="M582" s="129"/>
      <c r="N582" s="129"/>
      <c r="O582" s="130"/>
      <c r="P582" s="39"/>
      <c r="Q582" s="128"/>
      <c r="R582" s="128"/>
      <c r="S582" s="131"/>
    </row>
    <row r="583" spans="1:19" ht="15.75">
      <c r="A583" s="123"/>
      <c r="B583" s="123"/>
      <c r="C583" s="160"/>
      <c r="D583" s="123"/>
      <c r="E583" s="157"/>
      <c r="F583" s="157"/>
      <c r="G583" s="128"/>
      <c r="I583" s="39"/>
      <c r="J583" s="129"/>
      <c r="K583" s="129"/>
      <c r="L583" s="188"/>
      <c r="M583" s="129"/>
      <c r="N583" s="129"/>
      <c r="O583" s="130"/>
      <c r="P583" s="39"/>
      <c r="Q583" s="128"/>
      <c r="R583" s="128"/>
      <c r="S583" s="131"/>
    </row>
    <row r="584" spans="1:19" ht="15.75">
      <c r="A584" s="123"/>
      <c r="B584" s="123"/>
      <c r="C584" s="160"/>
      <c r="D584" s="123"/>
      <c r="E584" s="157"/>
      <c r="F584" s="157"/>
      <c r="G584" s="128"/>
      <c r="I584" s="39"/>
      <c r="J584" s="129"/>
      <c r="K584" s="129"/>
      <c r="L584" s="188"/>
      <c r="M584" s="129"/>
      <c r="N584" s="129"/>
      <c r="O584" s="130"/>
      <c r="P584" s="39"/>
      <c r="Q584" s="128"/>
      <c r="R584" s="128"/>
      <c r="S584" s="131"/>
    </row>
    <row r="585" spans="1:19" ht="15.75">
      <c r="A585" s="123"/>
      <c r="B585" s="123"/>
      <c r="C585" s="160"/>
      <c r="D585" s="123"/>
      <c r="E585" s="157"/>
      <c r="F585" s="157"/>
      <c r="G585" s="128"/>
      <c r="I585" s="39"/>
      <c r="J585" s="129"/>
      <c r="K585" s="129"/>
      <c r="L585" s="188"/>
      <c r="M585" s="129"/>
      <c r="N585" s="129"/>
      <c r="O585" s="130"/>
      <c r="P585" s="39"/>
      <c r="Q585" s="128"/>
      <c r="R585" s="128"/>
      <c r="S585" s="131"/>
    </row>
    <row r="586" spans="1:19" ht="15.75">
      <c r="A586" s="123"/>
      <c r="B586" s="123"/>
      <c r="C586" s="160"/>
      <c r="D586" s="123"/>
      <c r="E586" s="157"/>
      <c r="F586" s="157"/>
      <c r="G586" s="128"/>
      <c r="I586" s="39"/>
      <c r="J586" s="129"/>
      <c r="K586" s="129"/>
      <c r="L586" s="188"/>
      <c r="M586" s="129"/>
      <c r="N586" s="129"/>
      <c r="O586" s="130"/>
      <c r="P586" s="39"/>
      <c r="Q586" s="128"/>
      <c r="R586" s="128"/>
      <c r="S586" s="131"/>
    </row>
    <row r="587" spans="1:19" ht="15.75">
      <c r="A587" s="123"/>
      <c r="B587" s="123"/>
      <c r="C587" s="160"/>
      <c r="D587" s="123"/>
      <c r="E587" s="157"/>
      <c r="F587" s="157"/>
      <c r="G587" s="128"/>
      <c r="I587" s="39"/>
      <c r="J587" s="129"/>
      <c r="K587" s="129"/>
      <c r="L587" s="188"/>
      <c r="M587" s="129"/>
      <c r="N587" s="129"/>
      <c r="O587" s="130"/>
      <c r="P587" s="39"/>
      <c r="Q587" s="128"/>
      <c r="R587" s="128"/>
      <c r="S587" s="131"/>
    </row>
    <row r="588" spans="1:19" ht="15.75">
      <c r="A588" s="123"/>
      <c r="B588" s="123"/>
      <c r="C588" s="160"/>
      <c r="D588" s="123"/>
      <c r="E588" s="157"/>
      <c r="F588" s="157"/>
      <c r="G588" s="128"/>
      <c r="I588" s="39"/>
      <c r="J588" s="129"/>
      <c r="K588" s="129"/>
      <c r="L588" s="188"/>
      <c r="M588" s="129"/>
      <c r="N588" s="129"/>
      <c r="O588" s="130"/>
      <c r="P588" s="39"/>
      <c r="Q588" s="128"/>
      <c r="R588" s="128"/>
      <c r="S588" s="131"/>
    </row>
    <row r="589" spans="1:19" ht="15.75">
      <c r="A589" s="123"/>
      <c r="B589" s="123"/>
      <c r="C589" s="160"/>
      <c r="D589" s="123"/>
      <c r="E589" s="157"/>
      <c r="F589" s="157"/>
      <c r="G589" s="128"/>
      <c r="I589" s="39"/>
      <c r="J589" s="129"/>
      <c r="K589" s="129"/>
      <c r="L589" s="188"/>
      <c r="M589" s="129"/>
      <c r="N589" s="129"/>
      <c r="O589" s="130"/>
      <c r="P589" s="39"/>
      <c r="Q589" s="128"/>
      <c r="R589" s="128"/>
      <c r="S589" s="131"/>
    </row>
    <row r="590" spans="1:19" ht="15.75">
      <c r="A590" s="123"/>
      <c r="B590" s="123"/>
      <c r="C590" s="160"/>
      <c r="D590" s="123"/>
      <c r="E590" s="157"/>
      <c r="F590" s="157"/>
      <c r="G590" s="128"/>
      <c r="I590" s="39"/>
      <c r="J590" s="129"/>
      <c r="K590" s="129"/>
      <c r="L590" s="188"/>
      <c r="M590" s="129"/>
      <c r="N590" s="129"/>
      <c r="O590" s="130"/>
      <c r="P590" s="39"/>
      <c r="Q590" s="128"/>
      <c r="R590" s="128"/>
      <c r="S590" s="131"/>
    </row>
    <row r="591" spans="1:19" ht="15.75">
      <c r="A591" s="123"/>
      <c r="B591" s="123"/>
      <c r="C591" s="160"/>
      <c r="D591" s="123"/>
      <c r="E591" s="157"/>
      <c r="F591" s="157"/>
      <c r="G591" s="128"/>
      <c r="I591" s="39"/>
      <c r="J591" s="129"/>
      <c r="K591" s="129"/>
      <c r="L591" s="188"/>
      <c r="M591" s="129"/>
      <c r="N591" s="129"/>
      <c r="O591" s="130"/>
      <c r="P591" s="39"/>
      <c r="Q591" s="128"/>
      <c r="R591" s="128"/>
      <c r="S591" s="131"/>
    </row>
    <row r="592" spans="1:19" ht="15.75">
      <c r="A592" s="123"/>
      <c r="B592" s="123"/>
      <c r="C592" s="160"/>
      <c r="D592" s="123"/>
      <c r="E592" s="157"/>
      <c r="F592" s="157"/>
      <c r="G592" s="128"/>
      <c r="I592" s="39"/>
      <c r="J592" s="129"/>
      <c r="K592" s="129"/>
      <c r="L592" s="188"/>
      <c r="M592" s="129"/>
      <c r="N592" s="129"/>
      <c r="O592" s="130"/>
      <c r="P592" s="39"/>
      <c r="Q592" s="128"/>
      <c r="R592" s="128"/>
      <c r="S592" s="131"/>
    </row>
    <row r="593" spans="1:19" ht="15.75">
      <c r="A593" s="123"/>
      <c r="B593" s="123"/>
      <c r="C593" s="160"/>
      <c r="D593" s="123"/>
      <c r="E593" s="157"/>
      <c r="F593" s="157"/>
      <c r="G593" s="128"/>
      <c r="I593" s="39"/>
      <c r="J593" s="129"/>
      <c r="K593" s="129"/>
      <c r="L593" s="188"/>
      <c r="M593" s="129"/>
      <c r="N593" s="129"/>
      <c r="O593" s="130"/>
      <c r="P593" s="39"/>
      <c r="Q593" s="128"/>
      <c r="R593" s="128"/>
      <c r="S593" s="131"/>
    </row>
    <row r="594" spans="1:19" ht="15.75">
      <c r="A594" s="123"/>
      <c r="B594" s="123"/>
      <c r="C594" s="160"/>
      <c r="D594" s="123"/>
      <c r="E594" s="157"/>
      <c r="F594" s="157"/>
      <c r="G594" s="128"/>
      <c r="I594" s="39"/>
      <c r="J594" s="129"/>
      <c r="K594" s="129"/>
      <c r="L594" s="188"/>
      <c r="M594" s="129"/>
      <c r="N594" s="129"/>
      <c r="O594" s="130"/>
      <c r="P594" s="39"/>
      <c r="Q594" s="128"/>
      <c r="R594" s="128"/>
      <c r="S594" s="131"/>
    </row>
    <row r="595" spans="1:19" ht="15.75">
      <c r="A595" s="123"/>
      <c r="B595" s="123"/>
      <c r="C595" s="160"/>
      <c r="D595" s="123"/>
      <c r="E595" s="157"/>
      <c r="F595" s="157"/>
      <c r="G595" s="128"/>
      <c r="I595" s="39"/>
      <c r="J595" s="129"/>
      <c r="K595" s="129"/>
      <c r="L595" s="188"/>
      <c r="M595" s="129"/>
      <c r="N595" s="129"/>
      <c r="O595" s="130"/>
      <c r="P595" s="39"/>
      <c r="Q595" s="128"/>
      <c r="R595" s="128"/>
      <c r="S595" s="131"/>
    </row>
    <row r="596" spans="1:19" ht="15.75">
      <c r="A596" s="123"/>
      <c r="B596" s="123"/>
      <c r="C596" s="160"/>
      <c r="D596" s="123"/>
      <c r="E596" s="157"/>
      <c r="F596" s="157"/>
      <c r="G596" s="128"/>
      <c r="I596" s="39"/>
      <c r="J596" s="129"/>
      <c r="K596" s="129"/>
      <c r="L596" s="188"/>
      <c r="M596" s="129"/>
      <c r="N596" s="129"/>
      <c r="O596" s="130"/>
      <c r="P596" s="39"/>
      <c r="Q596" s="128"/>
      <c r="R596" s="128"/>
      <c r="S596" s="131"/>
    </row>
    <row r="597" spans="1:19" ht="15.75">
      <c r="A597" s="123"/>
      <c r="B597" s="123"/>
      <c r="C597" s="160"/>
      <c r="D597" s="123"/>
      <c r="E597" s="157"/>
      <c r="F597" s="157"/>
      <c r="G597" s="128"/>
      <c r="I597" s="39"/>
      <c r="J597" s="129"/>
      <c r="K597" s="129"/>
      <c r="L597" s="188"/>
      <c r="M597" s="129"/>
      <c r="N597" s="129"/>
      <c r="O597" s="130"/>
      <c r="P597" s="39"/>
      <c r="Q597" s="128"/>
      <c r="R597" s="128"/>
      <c r="S597" s="131"/>
    </row>
    <row r="598" spans="1:19" ht="15.75">
      <c r="A598" s="123"/>
      <c r="B598" s="123"/>
      <c r="C598" s="160"/>
      <c r="D598" s="123"/>
      <c r="E598" s="157"/>
      <c r="F598" s="157"/>
      <c r="G598" s="128"/>
      <c r="I598" s="39"/>
      <c r="J598" s="129"/>
      <c r="K598" s="129"/>
      <c r="L598" s="188"/>
      <c r="M598" s="129"/>
      <c r="N598" s="129"/>
      <c r="O598" s="130"/>
      <c r="P598" s="39"/>
      <c r="Q598" s="128"/>
      <c r="R598" s="128"/>
      <c r="S598" s="131"/>
    </row>
    <row r="599" spans="1:19" ht="15.75">
      <c r="A599" s="123"/>
      <c r="B599" s="123"/>
      <c r="C599" s="160"/>
      <c r="D599" s="123"/>
      <c r="E599" s="157"/>
      <c r="F599" s="157"/>
      <c r="G599" s="128"/>
      <c r="I599" s="39"/>
      <c r="J599" s="129"/>
      <c r="K599" s="129"/>
      <c r="L599" s="188"/>
      <c r="M599" s="129"/>
      <c r="N599" s="129"/>
      <c r="O599" s="130"/>
      <c r="P599" s="39"/>
      <c r="Q599" s="128"/>
      <c r="R599" s="128"/>
      <c r="S599" s="131"/>
    </row>
    <row r="600" spans="1:19" ht="15.75">
      <c r="A600" s="123"/>
      <c r="B600" s="123"/>
      <c r="C600" s="160"/>
      <c r="D600" s="123"/>
      <c r="E600" s="157"/>
      <c r="F600" s="157"/>
      <c r="G600" s="128"/>
      <c r="I600" s="39"/>
      <c r="J600" s="129"/>
      <c r="K600" s="129"/>
      <c r="L600" s="188"/>
      <c r="M600" s="129"/>
      <c r="N600" s="129"/>
      <c r="O600" s="130"/>
      <c r="P600" s="39"/>
      <c r="Q600" s="128"/>
      <c r="R600" s="128"/>
      <c r="S600" s="131"/>
    </row>
    <row r="601" spans="1:19" ht="15.75">
      <c r="A601" s="123"/>
      <c r="B601" s="123"/>
      <c r="C601" s="160"/>
      <c r="D601" s="123"/>
      <c r="E601" s="157"/>
      <c r="F601" s="157"/>
      <c r="G601" s="128"/>
      <c r="I601" s="39"/>
      <c r="J601" s="129"/>
      <c r="K601" s="129"/>
      <c r="L601" s="188"/>
      <c r="M601" s="129"/>
      <c r="N601" s="129"/>
      <c r="O601" s="130"/>
      <c r="P601" s="39"/>
      <c r="Q601" s="128"/>
      <c r="R601" s="128"/>
      <c r="S601" s="131"/>
    </row>
    <row r="602" spans="1:19" ht="15.75">
      <c r="A602" s="123"/>
      <c r="B602" s="123"/>
      <c r="C602" s="160"/>
      <c r="D602" s="123"/>
      <c r="E602" s="157"/>
      <c r="F602" s="157"/>
      <c r="G602" s="128"/>
      <c r="I602" s="39"/>
      <c r="J602" s="129"/>
      <c r="K602" s="129"/>
      <c r="L602" s="188"/>
      <c r="M602" s="129"/>
      <c r="N602" s="129"/>
      <c r="O602" s="130"/>
      <c r="P602" s="39"/>
      <c r="Q602" s="128"/>
      <c r="R602" s="128"/>
      <c r="S602" s="131"/>
    </row>
    <row r="603" spans="1:19" ht="15.75">
      <c r="A603" s="123"/>
      <c r="B603" s="123"/>
      <c r="C603" s="160"/>
      <c r="D603" s="123"/>
      <c r="E603" s="157"/>
      <c r="F603" s="157"/>
      <c r="G603" s="128"/>
      <c r="I603" s="39"/>
      <c r="J603" s="129"/>
      <c r="K603" s="129"/>
      <c r="L603" s="188"/>
      <c r="M603" s="129"/>
      <c r="N603" s="129"/>
      <c r="O603" s="130"/>
      <c r="P603" s="39"/>
      <c r="Q603" s="128"/>
      <c r="R603" s="128"/>
      <c r="S603" s="131"/>
    </row>
    <row r="604" spans="1:19" ht="15.75">
      <c r="A604" s="123"/>
      <c r="B604" s="123"/>
      <c r="C604" s="160"/>
      <c r="D604" s="123"/>
      <c r="E604" s="157"/>
      <c r="F604" s="157"/>
      <c r="G604" s="128"/>
      <c r="I604" s="39"/>
      <c r="J604" s="129"/>
      <c r="K604" s="129"/>
      <c r="L604" s="188"/>
      <c r="M604" s="129"/>
      <c r="N604" s="129"/>
      <c r="O604" s="130"/>
      <c r="P604" s="39"/>
      <c r="Q604" s="128"/>
      <c r="R604" s="128"/>
      <c r="S604" s="131"/>
    </row>
    <row r="614" spans="1:20" ht="15.75">
      <c r="A614"/>
      <c r="B614"/>
      <c r="C614"/>
      <c r="D614"/>
      <c r="E614"/>
      <c r="F614"/>
      <c r="G614"/>
      <c r="H614"/>
      <c r="I614"/>
      <c r="J614"/>
      <c r="K614"/>
      <c r="L614" s="194"/>
      <c r="M614"/>
      <c r="N614"/>
      <c r="O614"/>
      <c r="P614"/>
      <c r="Q614" t="s">
        <v>526</v>
      </c>
      <c r="R614"/>
      <c r="S614"/>
      <c r="T614"/>
    </row>
  </sheetData>
  <sheetProtection/>
  <mergeCells count="513">
    <mergeCell ref="C72:C73"/>
    <mergeCell ref="D107:D110"/>
    <mergeCell ref="A70:I70"/>
    <mergeCell ref="I78:I79"/>
    <mergeCell ref="B130:B140"/>
    <mergeCell ref="B106:B129"/>
    <mergeCell ref="C4:C6"/>
    <mergeCell ref="D29:D41"/>
    <mergeCell ref="C58:C61"/>
    <mergeCell ref="D58:D61"/>
    <mergeCell ref="D83:D84"/>
    <mergeCell ref="D25:D27"/>
    <mergeCell ref="D44:D46"/>
    <mergeCell ref="C47:C50"/>
    <mergeCell ref="C141:C143"/>
    <mergeCell ref="C135:C140"/>
    <mergeCell ref="C21:C23"/>
    <mergeCell ref="D64:D68"/>
    <mergeCell ref="A103:G103"/>
    <mergeCell ref="B85:B93"/>
    <mergeCell ref="B71:B73"/>
    <mergeCell ref="C63:C68"/>
    <mergeCell ref="E51:E56"/>
    <mergeCell ref="C51:C56"/>
    <mergeCell ref="D51:D56"/>
    <mergeCell ref="E59:E61"/>
    <mergeCell ref="F51:F56"/>
    <mergeCell ref="A104:G104"/>
    <mergeCell ref="F109:F110"/>
    <mergeCell ref="A4:A69"/>
    <mergeCell ref="B4:B16"/>
    <mergeCell ref="C44:C46"/>
    <mergeCell ref="C18:C20"/>
    <mergeCell ref="B74:B84"/>
    <mergeCell ref="D74:D75"/>
    <mergeCell ref="A71:A102"/>
    <mergeCell ref="B51:B69"/>
    <mergeCell ref="A371:G371"/>
    <mergeCell ref="G412:G413"/>
    <mergeCell ref="C113:C119"/>
    <mergeCell ref="C144:C146"/>
    <mergeCell ref="F141:F142"/>
    <mergeCell ref="D87:D89"/>
    <mergeCell ref="F127:F128"/>
    <mergeCell ref="F131:F133"/>
    <mergeCell ref="E141:E142"/>
    <mergeCell ref="C92:C93"/>
    <mergeCell ref="D423:D424"/>
    <mergeCell ref="E423:E424"/>
    <mergeCell ref="F423:F424"/>
    <mergeCell ref="C417:C418"/>
    <mergeCell ref="C412:C413"/>
    <mergeCell ref="C395:C397"/>
    <mergeCell ref="E409:E411"/>
    <mergeCell ref="H430:H431"/>
    <mergeCell ref="G430:G431"/>
    <mergeCell ref="G417:G418"/>
    <mergeCell ref="H417:H418"/>
    <mergeCell ref="H420:H422"/>
    <mergeCell ref="S430:S431"/>
    <mergeCell ref="P430:P431"/>
    <mergeCell ref="Q430:Q431"/>
    <mergeCell ref="R430:R431"/>
    <mergeCell ref="O430:O431"/>
    <mergeCell ref="I430:I431"/>
    <mergeCell ref="C420:C422"/>
    <mergeCell ref="B434:B436"/>
    <mergeCell ref="C434:C436"/>
    <mergeCell ref="D435:D436"/>
    <mergeCell ref="E435:E436"/>
    <mergeCell ref="F435:F436"/>
    <mergeCell ref="B419:B424"/>
    <mergeCell ref="C423:C424"/>
    <mergeCell ref="G420:G422"/>
    <mergeCell ref="A426:A436"/>
    <mergeCell ref="B426:B433"/>
    <mergeCell ref="C426:C428"/>
    <mergeCell ref="D426:D428"/>
    <mergeCell ref="E426:E428"/>
    <mergeCell ref="F426:F428"/>
    <mergeCell ref="A425:G425"/>
    <mergeCell ref="A408:A424"/>
    <mergeCell ref="P417:P418"/>
    <mergeCell ref="Q417:Q418"/>
    <mergeCell ref="S420:S422"/>
    <mergeCell ref="R412:R413"/>
    <mergeCell ref="S412:S413"/>
    <mergeCell ref="S417:S418"/>
    <mergeCell ref="P420:P422"/>
    <mergeCell ref="Q420:Q422"/>
    <mergeCell ref="I420:I422"/>
    <mergeCell ref="R420:R422"/>
    <mergeCell ref="S395:S397"/>
    <mergeCell ref="B404:B406"/>
    <mergeCell ref="C405:C406"/>
    <mergeCell ref="B408:B418"/>
    <mergeCell ref="C409:C411"/>
    <mergeCell ref="R417:R418"/>
    <mergeCell ref="I417:I418"/>
    <mergeCell ref="Q412:Q413"/>
    <mergeCell ref="R395:R397"/>
    <mergeCell ref="I395:I397"/>
    <mergeCell ref="F409:F411"/>
    <mergeCell ref="Q395:Q397"/>
    <mergeCell ref="O395:O397"/>
    <mergeCell ref="A407:G407"/>
    <mergeCell ref="A398:G398"/>
    <mergeCell ref="D409:D411"/>
    <mergeCell ref="B399:B403"/>
    <mergeCell ref="C399:C400"/>
    <mergeCell ref="H412:H413"/>
    <mergeCell ref="P412:P413"/>
    <mergeCell ref="I412:I413"/>
    <mergeCell ref="G395:G397"/>
    <mergeCell ref="H395:H397"/>
    <mergeCell ref="P395:P397"/>
    <mergeCell ref="N384:N385"/>
    <mergeCell ref="I390:I391"/>
    <mergeCell ref="S388:S389"/>
    <mergeCell ref="G390:G391"/>
    <mergeCell ref="H390:H391"/>
    <mergeCell ref="P390:P391"/>
    <mergeCell ref="Q390:Q391"/>
    <mergeCell ref="R390:R391"/>
    <mergeCell ref="S390:S391"/>
    <mergeCell ref="K384:K385"/>
    <mergeCell ref="L384:L385"/>
    <mergeCell ref="M384:M385"/>
    <mergeCell ref="O384:O385"/>
    <mergeCell ref="S384:S385"/>
    <mergeCell ref="G388:G389"/>
    <mergeCell ref="H388:H389"/>
    <mergeCell ref="Q388:Q389"/>
    <mergeCell ref="R388:R389"/>
    <mergeCell ref="I388:I389"/>
    <mergeCell ref="Q384:Q385"/>
    <mergeCell ref="R384:R385"/>
    <mergeCell ref="G380:G381"/>
    <mergeCell ref="H380:H381"/>
    <mergeCell ref="P380:P381"/>
    <mergeCell ref="Q380:Q381"/>
    <mergeCell ref="R380:R381"/>
    <mergeCell ref="I380:I381"/>
    <mergeCell ref="I384:I385"/>
    <mergeCell ref="J384:J385"/>
    <mergeCell ref="C390:C391"/>
    <mergeCell ref="B361:B362"/>
    <mergeCell ref="B363:B370"/>
    <mergeCell ref="C350:C355"/>
    <mergeCell ref="B382:B387"/>
    <mergeCell ref="S380:S381"/>
    <mergeCell ref="C384:C385"/>
    <mergeCell ref="G384:G385"/>
    <mergeCell ref="H384:H385"/>
    <mergeCell ref="P384:P385"/>
    <mergeCell ref="A372:A391"/>
    <mergeCell ref="B372:B381"/>
    <mergeCell ref="C372:C374"/>
    <mergeCell ref="D372:D374"/>
    <mergeCell ref="C382:C383"/>
    <mergeCell ref="A348:A370"/>
    <mergeCell ref="B348:B360"/>
    <mergeCell ref="C356:C360"/>
    <mergeCell ref="B388:B391"/>
    <mergeCell ref="C388:C389"/>
    <mergeCell ref="P340:P344"/>
    <mergeCell ref="Q340:Q344"/>
    <mergeCell ref="R340:R344"/>
    <mergeCell ref="A334:A344"/>
    <mergeCell ref="S340:S344"/>
    <mergeCell ref="C341:C342"/>
    <mergeCell ref="G340:G344"/>
    <mergeCell ref="H340:H344"/>
    <mergeCell ref="C328:C329"/>
    <mergeCell ref="D328:D329"/>
    <mergeCell ref="E328:E329"/>
    <mergeCell ref="B330:B332"/>
    <mergeCell ref="A333:G333"/>
    <mergeCell ref="F328:F329"/>
    <mergeCell ref="B323:B329"/>
    <mergeCell ref="F325:F326"/>
    <mergeCell ref="C325:C326"/>
    <mergeCell ref="D325:D326"/>
    <mergeCell ref="C323:C324"/>
    <mergeCell ref="A304:A319"/>
    <mergeCell ref="A322:S322"/>
    <mergeCell ref="B314:B319"/>
    <mergeCell ref="C316:C318"/>
    <mergeCell ref="D323:D324"/>
    <mergeCell ref="C307:C309"/>
    <mergeCell ref="D307:D308"/>
    <mergeCell ref="E307:E308"/>
    <mergeCell ref="A320:G320"/>
    <mergeCell ref="F307:F308"/>
    <mergeCell ref="E323:E324"/>
    <mergeCell ref="F323:F324"/>
    <mergeCell ref="A321:D321"/>
    <mergeCell ref="E316:E318"/>
    <mergeCell ref="F304:F306"/>
    <mergeCell ref="B304:B313"/>
    <mergeCell ref="C304:C306"/>
    <mergeCell ref="D304:D306"/>
    <mergeCell ref="E304:E306"/>
    <mergeCell ref="D298:D300"/>
    <mergeCell ref="E296:E297"/>
    <mergeCell ref="A286:G286"/>
    <mergeCell ref="F296:F297"/>
    <mergeCell ref="A264:A285"/>
    <mergeCell ref="G279:G280"/>
    <mergeCell ref="B264:B274"/>
    <mergeCell ref="B275:B282"/>
    <mergeCell ref="B283:B285"/>
    <mergeCell ref="C290:C293"/>
    <mergeCell ref="C296:C297"/>
    <mergeCell ref="B301:B302"/>
    <mergeCell ref="C275:C276"/>
    <mergeCell ref="A287:D287"/>
    <mergeCell ref="A288:S288"/>
    <mergeCell ref="A289:A302"/>
    <mergeCell ref="C277:C278"/>
    <mergeCell ref="E298:E300"/>
    <mergeCell ref="D296:D297"/>
    <mergeCell ref="B289:B300"/>
    <mergeCell ref="Q279:Q280"/>
    <mergeCell ref="P279:P280"/>
    <mergeCell ref="R279:R280"/>
    <mergeCell ref="I275:I278"/>
    <mergeCell ref="I279:I280"/>
    <mergeCell ref="O279:O280"/>
    <mergeCell ref="J279:J280"/>
    <mergeCell ref="H279:H280"/>
    <mergeCell ref="L279:L280"/>
    <mergeCell ref="M279:M280"/>
    <mergeCell ref="N279:N280"/>
    <mergeCell ref="S270:S274"/>
    <mergeCell ref="O275:O278"/>
    <mergeCell ref="S275:S278"/>
    <mergeCell ref="Q275:Q278"/>
    <mergeCell ref="R275:R278"/>
    <mergeCell ref="P270:P274"/>
    <mergeCell ref="P275:P278"/>
    <mergeCell ref="I245:I247"/>
    <mergeCell ref="C270:C274"/>
    <mergeCell ref="G270:G274"/>
    <mergeCell ref="H270:H274"/>
    <mergeCell ref="D258:D259"/>
    <mergeCell ref="K279:K280"/>
    <mergeCell ref="H275:H278"/>
    <mergeCell ref="M270:M274"/>
    <mergeCell ref="N270:N274"/>
    <mergeCell ref="G245:G247"/>
    <mergeCell ref="Q270:Q274"/>
    <mergeCell ref="G275:G278"/>
    <mergeCell ref="C264:C265"/>
    <mergeCell ref="D264:D265"/>
    <mergeCell ref="E264:E265"/>
    <mergeCell ref="F264:F265"/>
    <mergeCell ref="K270:K274"/>
    <mergeCell ref="R270:R274"/>
    <mergeCell ref="I270:I274"/>
    <mergeCell ref="B261:B262"/>
    <mergeCell ref="R245:R247"/>
    <mergeCell ref="Q245:Q247"/>
    <mergeCell ref="O270:O274"/>
    <mergeCell ref="B249:B253"/>
    <mergeCell ref="J270:J274"/>
    <mergeCell ref="B258:B260"/>
    <mergeCell ref="L270:L274"/>
    <mergeCell ref="S242:S243"/>
    <mergeCell ref="M245:M247"/>
    <mergeCell ref="L245:L247"/>
    <mergeCell ref="K245:K247"/>
    <mergeCell ref="J245:J247"/>
    <mergeCell ref="N245:N247"/>
    <mergeCell ref="P245:P247"/>
    <mergeCell ref="P237:P239"/>
    <mergeCell ref="I240:I241"/>
    <mergeCell ref="J240:J241"/>
    <mergeCell ref="K240:K241"/>
    <mergeCell ref="R237:R239"/>
    <mergeCell ref="H245:H247"/>
    <mergeCell ref="N237:N239"/>
    <mergeCell ref="L240:L241"/>
    <mergeCell ref="M240:M241"/>
    <mergeCell ref="N240:N241"/>
    <mergeCell ref="S217:S218"/>
    <mergeCell ref="R217:R218"/>
    <mergeCell ref="R224:R227"/>
    <mergeCell ref="P217:P218"/>
    <mergeCell ref="Q217:Q218"/>
    <mergeCell ref="O245:O247"/>
    <mergeCell ref="O237:O239"/>
    <mergeCell ref="P240:P241"/>
    <mergeCell ref="Q240:Q241"/>
    <mergeCell ref="O240:O241"/>
    <mergeCell ref="I237:I239"/>
    <mergeCell ref="D238:D239"/>
    <mergeCell ref="G240:G241"/>
    <mergeCell ref="G237:G239"/>
    <mergeCell ref="E230:E233"/>
    <mergeCell ref="H240:H241"/>
    <mergeCell ref="E238:E239"/>
    <mergeCell ref="O224:O227"/>
    <mergeCell ref="C237:C239"/>
    <mergeCell ref="Q224:Q227"/>
    <mergeCell ref="P224:P227"/>
    <mergeCell ref="N224:N227"/>
    <mergeCell ref="K224:K227"/>
    <mergeCell ref="H237:H239"/>
    <mergeCell ref="A235:D235"/>
    <mergeCell ref="A236:S236"/>
    <mergeCell ref="A237:A253"/>
    <mergeCell ref="B210:B212"/>
    <mergeCell ref="B223:B233"/>
    <mergeCell ref="C230:C233"/>
    <mergeCell ref="D230:D233"/>
    <mergeCell ref="C204:C209"/>
    <mergeCell ref="C201:C203"/>
    <mergeCell ref="B213:B221"/>
    <mergeCell ref="C213:C216"/>
    <mergeCell ref="D213:D216"/>
    <mergeCell ref="C223:C225"/>
    <mergeCell ref="C186:C191"/>
    <mergeCell ref="D186:D191"/>
    <mergeCell ref="E205:E209"/>
    <mergeCell ref="C192:C196"/>
    <mergeCell ref="C210:C211"/>
    <mergeCell ref="E210:E211"/>
    <mergeCell ref="E197:E200"/>
    <mergeCell ref="D201:D203"/>
    <mergeCell ref="D192:D196"/>
    <mergeCell ref="E192:E196"/>
    <mergeCell ref="F197:F200"/>
    <mergeCell ref="F192:F196"/>
    <mergeCell ref="F186:F190"/>
    <mergeCell ref="E186:E190"/>
    <mergeCell ref="F169:F170"/>
    <mergeCell ref="A173:D173"/>
    <mergeCell ref="D169:D170"/>
    <mergeCell ref="C183:C185"/>
    <mergeCell ref="D183:D185"/>
    <mergeCell ref="E183:E185"/>
    <mergeCell ref="E162:E163"/>
    <mergeCell ref="F162:F163"/>
    <mergeCell ref="B166:B168"/>
    <mergeCell ref="B151:B165"/>
    <mergeCell ref="C158:C164"/>
    <mergeCell ref="D158:D164"/>
    <mergeCell ref="F151:F154"/>
    <mergeCell ref="E155:E156"/>
    <mergeCell ref="F155:F156"/>
    <mergeCell ref="S78:S79"/>
    <mergeCell ref="P78:P79"/>
    <mergeCell ref="A105:S105"/>
    <mergeCell ref="F111:F112"/>
    <mergeCell ref="E127:E128"/>
    <mergeCell ref="C83:C84"/>
    <mergeCell ref="F85:F86"/>
    <mergeCell ref="J78:J79"/>
    <mergeCell ref="K78:K79"/>
    <mergeCell ref="E120:E124"/>
    <mergeCell ref="F120:F124"/>
    <mergeCell ref="E151:E154"/>
    <mergeCell ref="D131:D133"/>
    <mergeCell ref="Q78:Q79"/>
    <mergeCell ref="R78:R79"/>
    <mergeCell ref="G78:G79"/>
    <mergeCell ref="D111:D112"/>
    <mergeCell ref="E111:E112"/>
    <mergeCell ref="E85:E86"/>
    <mergeCell ref="N78:N79"/>
    <mergeCell ref="F59:F61"/>
    <mergeCell ref="O78:O79"/>
    <mergeCell ref="L78:L79"/>
    <mergeCell ref="M78:M79"/>
    <mergeCell ref="D92:D93"/>
    <mergeCell ref="C74:C75"/>
    <mergeCell ref="C77:C79"/>
    <mergeCell ref="C85:C89"/>
    <mergeCell ref="D85:D86"/>
    <mergeCell ref="H78:H79"/>
    <mergeCell ref="E83:E84"/>
    <mergeCell ref="F83:F84"/>
    <mergeCell ref="B94:B102"/>
    <mergeCell ref="C94:C96"/>
    <mergeCell ref="F92:F93"/>
    <mergeCell ref="E92:E93"/>
    <mergeCell ref="C98:C101"/>
    <mergeCell ref="C90:C91"/>
    <mergeCell ref="F8:F9"/>
    <mergeCell ref="F30:F41"/>
    <mergeCell ref="B17:B50"/>
    <mergeCell ref="C24:C27"/>
    <mergeCell ref="C28:C41"/>
    <mergeCell ref="E30:E41"/>
    <mergeCell ref="F14:F16"/>
    <mergeCell ref="E8:E9"/>
    <mergeCell ref="C11:C12"/>
    <mergeCell ref="D47:D49"/>
    <mergeCell ref="A223:A233"/>
    <mergeCell ref="G176:G177"/>
    <mergeCell ref="C8:C9"/>
    <mergeCell ref="D8:D9"/>
    <mergeCell ref="C14:C16"/>
    <mergeCell ref="D14:D16"/>
    <mergeCell ref="E14:E16"/>
    <mergeCell ref="A106:A149"/>
    <mergeCell ref="E109:E110"/>
    <mergeCell ref="E131:E133"/>
    <mergeCell ref="C127:C128"/>
    <mergeCell ref="D127:D128"/>
    <mergeCell ref="C131:C134"/>
    <mergeCell ref="C147:C149"/>
    <mergeCell ref="C107:C112"/>
    <mergeCell ref="C120:C126"/>
    <mergeCell ref="D120:D126"/>
    <mergeCell ref="F210:F211"/>
    <mergeCell ref="J224:J227"/>
    <mergeCell ref="F201:F203"/>
    <mergeCell ref="B141:B149"/>
    <mergeCell ref="D141:D142"/>
    <mergeCell ref="E169:E170"/>
    <mergeCell ref="C155:C156"/>
    <mergeCell ref="D155:D156"/>
    <mergeCell ref="C151:C154"/>
    <mergeCell ref="C169:C170"/>
    <mergeCell ref="A222:H222"/>
    <mergeCell ref="A234:G234"/>
    <mergeCell ref="C240:C241"/>
    <mergeCell ref="A174:R174"/>
    <mergeCell ref="A254:G254"/>
    <mergeCell ref="A263:G263"/>
    <mergeCell ref="L224:L227"/>
    <mergeCell ref="G217:G218"/>
    <mergeCell ref="M224:M227"/>
    <mergeCell ref="J176:J177"/>
    <mergeCell ref="M237:M239"/>
    <mergeCell ref="I224:I227"/>
    <mergeCell ref="G224:G227"/>
    <mergeCell ref="Q237:Q239"/>
    <mergeCell ref="A437:H437"/>
    <mergeCell ref="C175:C179"/>
    <mergeCell ref="B175:B209"/>
    <mergeCell ref="A175:A221"/>
    <mergeCell ref="D175:D177"/>
    <mergeCell ref="F176:F177"/>
    <mergeCell ref="B334:B339"/>
    <mergeCell ref="B237:B248"/>
    <mergeCell ref="C338:C339"/>
    <mergeCell ref="P176:P177"/>
    <mergeCell ref="Q176:Q177"/>
    <mergeCell ref="S176:S177"/>
    <mergeCell ref="E176:E177"/>
    <mergeCell ref="J237:J239"/>
    <mergeCell ref="K237:K239"/>
    <mergeCell ref="L237:L239"/>
    <mergeCell ref="R176:R177"/>
    <mergeCell ref="K176:K177"/>
    <mergeCell ref="L176:L177"/>
    <mergeCell ref="M176:M177"/>
    <mergeCell ref="N176:N177"/>
    <mergeCell ref="O176:O177"/>
    <mergeCell ref="A399:A406"/>
    <mergeCell ref="B393:B394"/>
    <mergeCell ref="B395:B397"/>
    <mergeCell ref="A393:A397"/>
    <mergeCell ref="A345:H345"/>
    <mergeCell ref="A346:D346"/>
    <mergeCell ref="A347:S347"/>
    <mergeCell ref="A392:G392"/>
    <mergeCell ref="E372:E374"/>
    <mergeCell ref="F372:F374"/>
    <mergeCell ref="C294:C295"/>
    <mergeCell ref="E325:E326"/>
    <mergeCell ref="F298:F300"/>
    <mergeCell ref="E201:E203"/>
    <mergeCell ref="C250:C252"/>
    <mergeCell ref="C298:C300"/>
    <mergeCell ref="C226:C228"/>
    <mergeCell ref="F230:F233"/>
    <mergeCell ref="F316:F318"/>
    <mergeCell ref="E213:E216"/>
    <mergeCell ref="D205:D209"/>
    <mergeCell ref="F213:F216"/>
    <mergeCell ref="I340:I344"/>
    <mergeCell ref="C242:C243"/>
    <mergeCell ref="A303:G303"/>
    <mergeCell ref="C312:C313"/>
    <mergeCell ref="B340:B344"/>
    <mergeCell ref="F238:F239"/>
    <mergeCell ref="A255:A256"/>
    <mergeCell ref="B255:B257"/>
    <mergeCell ref="I176:I177"/>
    <mergeCell ref="C258:C259"/>
    <mergeCell ref="I251:I252"/>
    <mergeCell ref="D210:D211"/>
    <mergeCell ref="F183:F185"/>
    <mergeCell ref="C197:C200"/>
    <mergeCell ref="D197:D200"/>
    <mergeCell ref="I217:I218"/>
    <mergeCell ref="F205:F209"/>
    <mergeCell ref="H224:H227"/>
    <mergeCell ref="A172:H172"/>
    <mergeCell ref="A150:G150"/>
    <mergeCell ref="B169:B171"/>
    <mergeCell ref="H217:H218"/>
    <mergeCell ref="H176:H177"/>
    <mergeCell ref="G251:G252"/>
    <mergeCell ref="H251:H252"/>
    <mergeCell ref="C245:C248"/>
    <mergeCell ref="D247:D248"/>
    <mergeCell ref="A151:A171"/>
  </mergeCells>
  <printOptions/>
  <pageMargins left="0.31496062992125984" right="0.15748031496062992" top="0.5905511811023623" bottom="0.3937007874015748" header="0.5118110236220472" footer="0.5118110236220472"/>
  <pageSetup orientation="landscape" paperSize="9" scale="65" r:id="rId3"/>
  <rowBreaks count="7" manualBreakCount="7">
    <brk id="93" max="25" man="1"/>
    <brk id="104" max="255" man="1"/>
    <brk id="115" max="25" man="1"/>
    <brk id="126" max="255" man="1"/>
    <brk id="154" max="25" man="1"/>
    <brk id="173" max="255" man="1"/>
    <brk id="321" max="255" man="1"/>
  </rowBreaks>
  <colBreaks count="1" manualBreakCount="1">
    <brk id="9" max="349" man="1"/>
  </colBreaks>
  <ignoredErrors>
    <ignoredError sqref="O302 J70 N70" emptyCellReference="1"/>
  </ignoredErrors>
  <legacyDrawing r:id="rId2"/>
</worksheet>
</file>

<file path=xl/worksheets/sheet2.xml><?xml version="1.0" encoding="utf-8"?>
<worksheet xmlns="http://schemas.openxmlformats.org/spreadsheetml/2006/main" xmlns:r="http://schemas.openxmlformats.org/officeDocument/2006/relationships">
  <sheetPr>
    <tabColor rgb="FFFF6600"/>
  </sheetPr>
  <dimension ref="A2:N86"/>
  <sheetViews>
    <sheetView zoomScale="125" zoomScaleNormal="125" zoomScalePageLayoutView="0" workbookViewId="0" topLeftCell="A3">
      <selection activeCell="B9" sqref="B9"/>
    </sheetView>
  </sheetViews>
  <sheetFormatPr defaultColWidth="8.875" defaultRowHeight="15.75"/>
  <cols>
    <col min="1" max="1" width="6.125" style="0" customWidth="1"/>
    <col min="2" max="2" width="24.875" style="0" customWidth="1"/>
    <col min="3" max="4" width="18.625" style="0" customWidth="1"/>
    <col min="5" max="5" width="22.00390625" style="0" customWidth="1"/>
    <col min="6" max="8" width="18.625" style="0" customWidth="1"/>
    <col min="9" max="9" width="10.125" style="0" customWidth="1"/>
    <col min="10" max="10" width="15.00390625" style="0" bestFit="1" customWidth="1"/>
    <col min="11" max="11" width="19.00390625" style="0" customWidth="1"/>
    <col min="12" max="12" width="19.625" style="0" customWidth="1"/>
    <col min="13" max="13" width="12.125" style="0" bestFit="1" customWidth="1"/>
    <col min="14" max="14" width="14.625" style="0" bestFit="1" customWidth="1"/>
  </cols>
  <sheetData>
    <row r="2" spans="1:9" ht="15.75">
      <c r="A2" s="676" t="s">
        <v>385</v>
      </c>
      <c r="B2" s="676"/>
      <c r="C2" s="676"/>
      <c r="D2" s="676"/>
      <c r="E2" s="676"/>
      <c r="F2" s="676"/>
      <c r="G2" s="676"/>
      <c r="H2" s="676"/>
      <c r="I2" s="676"/>
    </row>
    <row r="3" spans="1:9" ht="15.75">
      <c r="A3" s="13"/>
      <c r="B3" s="14"/>
      <c r="C3" s="15"/>
      <c r="D3" s="15"/>
      <c r="E3" s="15"/>
      <c r="F3" s="15"/>
      <c r="G3" s="15"/>
      <c r="H3" s="15"/>
      <c r="I3" s="16"/>
    </row>
    <row r="4" spans="1:12" ht="31.5">
      <c r="A4" s="17" t="s">
        <v>386</v>
      </c>
      <c r="B4" s="18" t="s">
        <v>387</v>
      </c>
      <c r="C4" s="19" t="s">
        <v>76</v>
      </c>
      <c r="D4" s="19">
        <v>2016</v>
      </c>
      <c r="E4" s="19">
        <v>2017</v>
      </c>
      <c r="F4" s="19">
        <v>2018</v>
      </c>
      <c r="G4" s="19">
        <v>2019</v>
      </c>
      <c r="H4" s="19">
        <v>2020</v>
      </c>
      <c r="I4" s="20" t="s">
        <v>388</v>
      </c>
      <c r="K4" s="32" t="s">
        <v>397</v>
      </c>
      <c r="L4" s="32" t="s">
        <v>398</v>
      </c>
    </row>
    <row r="5" spans="1:12" ht="30" customHeight="1">
      <c r="A5" s="17">
        <v>1</v>
      </c>
      <c r="B5" s="107" t="s">
        <v>389</v>
      </c>
      <c r="C5" s="21">
        <f>PSMN!P104</f>
        <v>32998375774.52713</v>
      </c>
      <c r="D5" s="21">
        <f>PSMN!J104</f>
        <v>7240430630.2</v>
      </c>
      <c r="E5" s="21">
        <f>PSMN!K104</f>
        <v>8734698793.338139</v>
      </c>
      <c r="F5" s="21">
        <f>PSMN!L104</f>
        <v>7454219980.338139</v>
      </c>
      <c r="G5" s="21">
        <f>PSMN!M104</f>
        <v>5315666142.825426</v>
      </c>
      <c r="H5" s="21">
        <f>PSMN!N104</f>
        <v>4253359991.4254265</v>
      </c>
      <c r="I5" s="22">
        <f>C5/$C$12</f>
        <v>0.12376500002829548</v>
      </c>
      <c r="K5" s="33">
        <f>C5/500</f>
        <v>65996751.54905426</v>
      </c>
      <c r="L5" s="34">
        <f>K5/5</f>
        <v>13199350.30981085</v>
      </c>
    </row>
    <row r="6" spans="1:14" ht="38.25" customHeight="1">
      <c r="A6" s="17">
        <v>2</v>
      </c>
      <c r="B6" s="107" t="s">
        <v>390</v>
      </c>
      <c r="C6" s="21">
        <f>PSMN!P173</f>
        <v>70825698052.75</v>
      </c>
      <c r="D6" s="21">
        <f>PSMN!J173</f>
        <v>16868749924</v>
      </c>
      <c r="E6" s="21">
        <f>PSMN!K173</f>
        <v>18045423357</v>
      </c>
      <c r="F6" s="21">
        <f>PSMN!L173</f>
        <v>15325916636</v>
      </c>
      <c r="G6" s="21">
        <f>PSMN!M173</f>
        <v>11293591766.25</v>
      </c>
      <c r="H6" s="21">
        <f>PSMN!N173</f>
        <v>9317016369.5</v>
      </c>
      <c r="I6" s="22">
        <f aca="true" t="shared" si="0" ref="I6:I11">C6/$C$12</f>
        <v>0.2656416358610385</v>
      </c>
      <c r="J6" s="50"/>
      <c r="K6" s="33">
        <f aca="true" t="shared" si="1" ref="K6:K11">C6/500</f>
        <v>141651396.1055</v>
      </c>
      <c r="L6" s="33">
        <f aca="true" t="shared" si="2" ref="L6:L11">K6/5</f>
        <v>28330279.221100003</v>
      </c>
      <c r="M6" s="30"/>
      <c r="N6" s="31"/>
    </row>
    <row r="7" spans="1:12" ht="30.75" customHeight="1">
      <c r="A7" s="17">
        <v>3</v>
      </c>
      <c r="B7" s="107" t="s">
        <v>391</v>
      </c>
      <c r="C7" s="21">
        <f>PSMN!P235</f>
        <v>56894000000</v>
      </c>
      <c r="D7" s="21">
        <f>PSMN!J235</f>
        <v>13020850000</v>
      </c>
      <c r="E7" s="21">
        <f>PSMN!K235</f>
        <v>16410900000</v>
      </c>
      <c r="F7" s="21">
        <f>PSMN!L235</f>
        <v>12243750000</v>
      </c>
      <c r="G7" s="21">
        <f>PSMN!M235</f>
        <v>10214500000</v>
      </c>
      <c r="H7" s="21">
        <f>PSMN!N235</f>
        <v>5004000000</v>
      </c>
      <c r="I7" s="22">
        <f>C7/$C$12</f>
        <v>0.21338886373448326</v>
      </c>
      <c r="K7" s="33">
        <f t="shared" si="1"/>
        <v>113788000</v>
      </c>
      <c r="L7" s="33">
        <f t="shared" si="2"/>
        <v>22757600</v>
      </c>
    </row>
    <row r="8" spans="1:12" ht="35.25" customHeight="1">
      <c r="A8" s="17">
        <v>4</v>
      </c>
      <c r="B8" s="107" t="s">
        <v>392</v>
      </c>
      <c r="C8" s="21">
        <f>PSMN!P287</f>
        <v>22878000000</v>
      </c>
      <c r="D8" s="21">
        <f>PSMN!J287</f>
        <v>5113700000</v>
      </c>
      <c r="E8" s="21">
        <f>PSMN!K287</f>
        <v>5826200000</v>
      </c>
      <c r="F8" s="21">
        <f>PSMN!L287</f>
        <v>4569700000</v>
      </c>
      <c r="G8" s="21">
        <f>PSMN!M287</f>
        <v>3579200000</v>
      </c>
      <c r="H8" s="21">
        <f>PSMN!N287</f>
        <v>3379200000</v>
      </c>
      <c r="I8" s="22">
        <f t="shared" si="0"/>
        <v>0.08580712244731445</v>
      </c>
      <c r="K8" s="33">
        <f t="shared" si="1"/>
        <v>45756000</v>
      </c>
      <c r="L8" s="33">
        <f t="shared" si="2"/>
        <v>9151200</v>
      </c>
    </row>
    <row r="9" spans="1:12" ht="30" customHeight="1">
      <c r="A9" s="17">
        <v>5</v>
      </c>
      <c r="B9" s="107" t="s">
        <v>393</v>
      </c>
      <c r="C9" s="21">
        <f>PSMN!P321</f>
        <v>31077200000</v>
      </c>
      <c r="D9" s="21">
        <f>PSMN!J321</f>
        <v>9372540000</v>
      </c>
      <c r="E9" s="21">
        <f>PSMN!K321</f>
        <v>9404540000</v>
      </c>
      <c r="F9" s="21">
        <f>PSMN!L321</f>
        <v>6044540000</v>
      </c>
      <c r="G9" s="21">
        <f>PSMN!M321</f>
        <v>3696540000</v>
      </c>
      <c r="H9" s="21">
        <f>PSMN!N321</f>
        <v>2559040000</v>
      </c>
      <c r="I9" s="22">
        <f t="shared" si="0"/>
        <v>0.11655936295653818</v>
      </c>
      <c r="K9" s="33">
        <f t="shared" si="1"/>
        <v>62154400</v>
      </c>
      <c r="L9" s="34">
        <f>K9/5</f>
        <v>12430880</v>
      </c>
    </row>
    <row r="10" spans="1:12" ht="45.75" customHeight="1">
      <c r="A10" s="17">
        <v>6</v>
      </c>
      <c r="B10" s="107" t="s">
        <v>576</v>
      </c>
      <c r="C10" s="21">
        <f>PSMN!P346</f>
        <v>44442250000</v>
      </c>
      <c r="D10" s="21">
        <f>PSMN!J346</f>
        <v>11180200000</v>
      </c>
      <c r="E10" s="21">
        <f>PSMN!K346</f>
        <v>15841700000</v>
      </c>
      <c r="F10" s="21">
        <f>PSMN!L346</f>
        <v>12019000000</v>
      </c>
      <c r="G10" s="21">
        <f>PSMN!M346</f>
        <v>4692150000</v>
      </c>
      <c r="H10" s="21">
        <f>PSMN!N346</f>
        <v>709200000</v>
      </c>
      <c r="I10" s="22">
        <f t="shared" si="0"/>
        <v>0.16668684271283155</v>
      </c>
      <c r="K10" s="33">
        <f t="shared" si="1"/>
        <v>88884500</v>
      </c>
      <c r="L10" s="33">
        <f t="shared" si="2"/>
        <v>17776900</v>
      </c>
    </row>
    <row r="11" spans="1:12" ht="22.5" customHeight="1">
      <c r="A11" s="17">
        <v>7</v>
      </c>
      <c r="B11" s="107" t="s">
        <v>394</v>
      </c>
      <c r="C11" s="21">
        <f>PSMN!P438</f>
        <v>7505700000</v>
      </c>
      <c r="D11" s="21">
        <f>PSMN!J438</f>
        <v>2083750000</v>
      </c>
      <c r="E11" s="21">
        <f>PSMN!K438</f>
        <v>1831550000</v>
      </c>
      <c r="F11" s="21">
        <f>PSMN!L438</f>
        <v>1446800000</v>
      </c>
      <c r="G11" s="21">
        <f>PSMN!M438</f>
        <v>1198300000</v>
      </c>
      <c r="H11" s="21">
        <f>PSMN!N438</f>
        <v>945300000</v>
      </c>
      <c r="I11" s="22">
        <f t="shared" si="0"/>
        <v>0.028151172259498557</v>
      </c>
      <c r="K11" s="33">
        <f t="shared" si="1"/>
        <v>15011400</v>
      </c>
      <c r="L11" s="33">
        <f t="shared" si="2"/>
        <v>3002280</v>
      </c>
    </row>
    <row r="12" spans="1:12" ht="18" customHeight="1">
      <c r="A12" s="677"/>
      <c r="B12" s="677"/>
      <c r="C12" s="23">
        <f>C5+C6+C7+C8+C9+C10+C11</f>
        <v>266621223827.27713</v>
      </c>
      <c r="D12" s="21">
        <f>SUM(D5:D11)</f>
        <v>64880220554.2</v>
      </c>
      <c r="E12" s="21">
        <f>SUM(E5:E11)</f>
        <v>76095012150.33813</v>
      </c>
      <c r="F12" s="21">
        <f>SUM(F5:F11)</f>
        <v>59103926616.338135</v>
      </c>
      <c r="G12" s="21">
        <f>SUM(G5:G11)</f>
        <v>39989947909.075424</v>
      </c>
      <c r="H12" s="21">
        <f>SUM(H5:H11)</f>
        <v>26167116360.925426</v>
      </c>
      <c r="I12" s="24">
        <f>C12/$C$12</f>
        <v>1</v>
      </c>
      <c r="K12" s="35">
        <f>SUM(K5:K11)</f>
        <v>533242447.65455425</v>
      </c>
      <c r="L12" s="35">
        <f>SUM(L5:L11)</f>
        <v>106648489.53091085</v>
      </c>
    </row>
    <row r="13" spans="2:3" ht="15.75">
      <c r="B13" s="50">
        <f>C5+C6</f>
        <v>103824073827.27713</v>
      </c>
      <c r="C13" s="50"/>
    </row>
    <row r="14" spans="2:8" ht="15.75">
      <c r="B14" s="50">
        <f>C14-C12</f>
        <v>25003139.722869873</v>
      </c>
      <c r="C14" s="37">
        <v>266646226967</v>
      </c>
      <c r="D14" s="37">
        <f>D12*15%</f>
        <v>9732033083.13</v>
      </c>
      <c r="E14" s="37">
        <f>E12*15%</f>
        <v>11414251822.55072</v>
      </c>
      <c r="F14" s="37">
        <f>F12*15%</f>
        <v>8865588992.45072</v>
      </c>
      <c r="G14" s="37">
        <f>G12*15%</f>
        <v>5998492186.361314</v>
      </c>
      <c r="H14" s="37">
        <f>H12*15%</f>
        <v>3925067454.138814</v>
      </c>
    </row>
    <row r="15" spans="2:7" ht="15.75">
      <c r="B15" s="89">
        <v>70900701208</v>
      </c>
      <c r="C15" s="50">
        <f>C12-C14</f>
        <v>-25003139.722869873</v>
      </c>
      <c r="D15" s="50"/>
      <c r="E15" s="50"/>
      <c r="F15" s="50"/>
      <c r="G15" s="50"/>
    </row>
    <row r="16" spans="3:6" ht="15.75">
      <c r="C16" s="50"/>
      <c r="D16" s="50">
        <v>9732033017</v>
      </c>
      <c r="E16" s="50">
        <f>D16*100/15</f>
        <v>64880220113.333336</v>
      </c>
      <c r="F16" s="50">
        <f>D12-E16</f>
        <v>440.86666107177734</v>
      </c>
    </row>
    <row r="17" ht="15.75">
      <c r="E17" t="s">
        <v>526</v>
      </c>
    </row>
    <row r="86" ht="15.75">
      <c r="D86" s="50"/>
    </row>
  </sheetData>
  <sheetProtection selectLockedCells="1"/>
  <mergeCells count="2">
    <mergeCell ref="A2:I2"/>
    <mergeCell ref="A12:B12"/>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5" sqref="D5"/>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World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Offosse Marie-Jeanne N'GBESSO</dc:creator>
  <cp:keywords/>
  <dc:description/>
  <cp:lastModifiedBy>Tra bi</cp:lastModifiedBy>
  <cp:lastPrinted>2016-08-14T15:37:13Z</cp:lastPrinted>
  <dcterms:created xsi:type="dcterms:W3CDTF">2015-06-28T20:46:53Z</dcterms:created>
  <dcterms:modified xsi:type="dcterms:W3CDTF">2016-09-01T12:31:57Z</dcterms:modified>
  <cp:category/>
  <cp:version/>
  <cp:contentType/>
  <cp:contentStatus/>
</cp:coreProperties>
</file>